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90" yWindow="1365" windowWidth="17775" windowHeight="11130"/>
  </bookViews>
  <sheets>
    <sheet name="Portada" sheetId="1" r:id="rId1"/>
    <sheet name="50 E001" sheetId="2" r:id="rId2"/>
    <sheet name="50 E003" sheetId="3" r:id="rId3"/>
    <sheet name="50 E004" sheetId="4" r:id="rId4"/>
    <sheet name="50 E006" sheetId="5" r:id="rId5"/>
    <sheet name="50 E007" sheetId="6" r:id="rId6"/>
    <sheet name="50 E011" sheetId="7" r:id="rId7"/>
    <sheet name="50 E012" sheetId="8" r:id="rId8"/>
    <sheet name="50 J001" sheetId="9" r:id="rId9"/>
    <sheet name="50 J002" sheetId="10" r:id="rId10"/>
    <sheet name="50 J004" sheetId="11" r:id="rId11"/>
    <sheet name="50 K012" sheetId="12" r:id="rId12"/>
    <sheet name="50 K029" sheetId="13" r:id="rId13"/>
  </sheets>
  <definedNames>
    <definedName name="_xlnm.Print_Area" localSheetId="1">'50 E001'!$B$2:$U$59</definedName>
    <definedName name="_xlnm.Print_Area" localSheetId="2">'50 E003'!$B$2:$U$49</definedName>
    <definedName name="_xlnm.Print_Area" localSheetId="3">'50 E004'!$B$2:$U$41</definedName>
    <definedName name="_xlnm.Print_Area" localSheetId="4">'50 E006'!$B$2:$U$39</definedName>
    <definedName name="_xlnm.Print_Area" localSheetId="5">'50 E007'!$B$2:$U$39</definedName>
    <definedName name="_xlnm.Print_Area" localSheetId="6">'50 E011'!$B$2:$U$61</definedName>
    <definedName name="_xlnm.Print_Area" localSheetId="7">'50 E012'!$B$2:$U$53</definedName>
    <definedName name="_xlnm.Print_Area" localSheetId="8">'50 J001'!$B$2:$U$31</definedName>
    <definedName name="_xlnm.Print_Area" localSheetId="9">'50 J002'!$B$2:$U$31</definedName>
    <definedName name="_xlnm.Print_Area" localSheetId="10">'50 J004'!$B$2:$U$31</definedName>
    <definedName name="_xlnm.Print_Area" localSheetId="11">'50 K012'!$B$2:$U$31</definedName>
    <definedName name="_xlnm.Print_Area" localSheetId="12">'50 K029'!$B$2:$U$39</definedName>
    <definedName name="_xlnm.Print_Area" localSheetId="0">Portada!$B$1:$AD$86</definedName>
    <definedName name="_xlnm.Print_Titles" localSheetId="1">'50 E001'!$1:$4</definedName>
    <definedName name="_xlnm.Print_Titles" localSheetId="2">'50 E003'!$1:$4</definedName>
    <definedName name="_xlnm.Print_Titles" localSheetId="3">'50 E004'!$1:$4</definedName>
    <definedName name="_xlnm.Print_Titles" localSheetId="4">'50 E006'!$1:$4</definedName>
    <definedName name="_xlnm.Print_Titles" localSheetId="5">'50 E007'!$1:$4</definedName>
    <definedName name="_xlnm.Print_Titles" localSheetId="6">'50 E011'!$1:$4</definedName>
    <definedName name="_xlnm.Print_Titles" localSheetId="7">'50 E012'!$1:$4</definedName>
    <definedName name="_xlnm.Print_Titles" localSheetId="8">'50 J001'!$1:$4</definedName>
    <definedName name="_xlnm.Print_Titles" localSheetId="9">'50 J002'!$1:$4</definedName>
    <definedName name="_xlnm.Print_Titles" localSheetId="10">'50 J004'!$1:$4</definedName>
    <definedName name="_xlnm.Print_Titles" localSheetId="11">'50 K012'!$1:$4</definedName>
    <definedName name="_xlnm.Print_Titles" localSheetId="12">'50 K029'!$1:$4</definedName>
    <definedName name="_xlnm.Print_Titles" localSheetId="0">Portada!$1:$4</definedName>
  </definedNames>
  <calcPr calcId="145621"/>
</workbook>
</file>

<file path=xl/calcChain.xml><?xml version="1.0" encoding="utf-8"?>
<calcChain xmlns="http://schemas.openxmlformats.org/spreadsheetml/2006/main">
  <c r="T24" i="13" l="1"/>
  <c r="U24" i="13" s="1"/>
  <c r="S24" i="13"/>
  <c r="R24" i="13"/>
  <c r="T23" i="13"/>
  <c r="U23" i="13" s="1"/>
  <c r="S23" i="13"/>
  <c r="R23" i="13"/>
  <c r="U19" i="13"/>
  <c r="U18" i="13"/>
  <c r="U17" i="13"/>
  <c r="U16" i="13"/>
  <c r="U15" i="13"/>
  <c r="U14" i="13"/>
  <c r="U13" i="13"/>
  <c r="U12" i="13"/>
  <c r="U11" i="13"/>
  <c r="T20" i="12"/>
  <c r="U20" i="12" s="1"/>
  <c r="S20" i="12"/>
  <c r="R20" i="12"/>
  <c r="T19" i="12"/>
  <c r="U19" i="12" s="1"/>
  <c r="S19" i="12"/>
  <c r="R19" i="12"/>
  <c r="U15" i="12"/>
  <c r="U14" i="12"/>
  <c r="U13" i="12"/>
  <c r="U12" i="12"/>
  <c r="U11" i="12"/>
  <c r="T20" i="11"/>
  <c r="S20" i="11"/>
  <c r="U20" i="11" s="1"/>
  <c r="R20" i="11"/>
  <c r="T19" i="11"/>
  <c r="S19" i="11"/>
  <c r="U19" i="11" s="1"/>
  <c r="R19" i="11"/>
  <c r="U15" i="11"/>
  <c r="U14" i="11"/>
  <c r="U13" i="11"/>
  <c r="U12" i="11"/>
  <c r="U11" i="11"/>
  <c r="T20" i="10"/>
  <c r="U20" i="10" s="1"/>
  <c r="S20" i="10"/>
  <c r="R20" i="10"/>
  <c r="T19" i="10"/>
  <c r="U19" i="10" s="1"/>
  <c r="S19" i="10"/>
  <c r="R19" i="10"/>
  <c r="U15" i="10"/>
  <c r="U14" i="10"/>
  <c r="U13" i="10"/>
  <c r="U12" i="10"/>
  <c r="U11" i="10"/>
  <c r="T20" i="9"/>
  <c r="S20" i="9"/>
  <c r="U20" i="9" s="1"/>
  <c r="R20" i="9"/>
  <c r="T19" i="9"/>
  <c r="S19" i="9"/>
  <c r="U19" i="9" s="1"/>
  <c r="R19" i="9"/>
  <c r="U15" i="9"/>
  <c r="U14" i="9"/>
  <c r="U13" i="9"/>
  <c r="U12" i="9"/>
  <c r="U11" i="9"/>
  <c r="T31" i="8"/>
  <c r="U31" i="8" s="1"/>
  <c r="S31" i="8"/>
  <c r="R31" i="8"/>
  <c r="T30" i="8"/>
  <c r="U30" i="8" s="1"/>
  <c r="S30" i="8"/>
  <c r="R30" i="8"/>
  <c r="U26" i="8"/>
  <c r="U25" i="8"/>
  <c r="U24" i="8"/>
  <c r="U23" i="8"/>
  <c r="U22" i="8"/>
  <c r="U21" i="8"/>
  <c r="U20" i="8"/>
  <c r="U19" i="8"/>
  <c r="U18" i="8"/>
  <c r="U17" i="8"/>
  <c r="U16" i="8"/>
  <c r="U15" i="8"/>
  <c r="U14" i="8"/>
  <c r="U13" i="8"/>
  <c r="U12" i="8"/>
  <c r="U11" i="8"/>
  <c r="T35" i="7"/>
  <c r="U35" i="7" s="1"/>
  <c r="S35" i="7"/>
  <c r="R35" i="7"/>
  <c r="T34" i="7"/>
  <c r="U34" i="7" s="1"/>
  <c r="S34" i="7"/>
  <c r="R34" i="7"/>
  <c r="U30" i="7"/>
  <c r="U29" i="7"/>
  <c r="U28" i="7"/>
  <c r="U27" i="7"/>
  <c r="U26" i="7"/>
  <c r="U25" i="7"/>
  <c r="U24" i="7"/>
  <c r="U23" i="7"/>
  <c r="U22" i="7"/>
  <c r="U21" i="7"/>
  <c r="U20" i="7"/>
  <c r="U19" i="7"/>
  <c r="U18" i="7"/>
  <c r="U17" i="7"/>
  <c r="U16" i="7"/>
  <c r="U15" i="7"/>
  <c r="U14" i="7"/>
  <c r="U13" i="7"/>
  <c r="U12" i="7"/>
  <c r="U11" i="7"/>
  <c r="T24" i="6"/>
  <c r="U24" i="6" s="1"/>
  <c r="S24" i="6"/>
  <c r="R24" i="6"/>
  <c r="T23" i="6"/>
  <c r="U23" i="6" s="1"/>
  <c r="S23" i="6"/>
  <c r="R23" i="6"/>
  <c r="U19" i="6"/>
  <c r="U18" i="6"/>
  <c r="U17" i="6"/>
  <c r="U16" i="6"/>
  <c r="U15" i="6"/>
  <c r="U14" i="6"/>
  <c r="U13" i="6"/>
  <c r="U12" i="6"/>
  <c r="U11" i="6"/>
  <c r="T24" i="5"/>
  <c r="S24" i="5"/>
  <c r="U24" i="5" s="1"/>
  <c r="R24" i="5"/>
  <c r="T23" i="5"/>
  <c r="S23" i="5"/>
  <c r="U23" i="5" s="1"/>
  <c r="R23" i="5"/>
  <c r="U19" i="5"/>
  <c r="U18" i="5"/>
  <c r="U17" i="5"/>
  <c r="U16" i="5"/>
  <c r="U15" i="5"/>
  <c r="U14" i="5"/>
  <c r="U13" i="5"/>
  <c r="U12" i="5"/>
  <c r="U11" i="5"/>
  <c r="T25" i="4"/>
  <c r="U25" i="4" s="1"/>
  <c r="S25" i="4"/>
  <c r="R25" i="4"/>
  <c r="T24" i="4"/>
  <c r="U24" i="4" s="1"/>
  <c r="S24" i="4"/>
  <c r="R24" i="4"/>
  <c r="U20" i="4"/>
  <c r="U19" i="4"/>
  <c r="U18" i="4"/>
  <c r="U17" i="4"/>
  <c r="U16" i="4"/>
  <c r="U15" i="4"/>
  <c r="U14" i="4"/>
  <c r="U13" i="4"/>
  <c r="U12" i="4"/>
  <c r="U11" i="4"/>
  <c r="T29" i="3"/>
  <c r="U29" i="3" s="1"/>
  <c r="S29" i="3"/>
  <c r="R29" i="3"/>
  <c r="T28" i="3"/>
  <c r="U28" i="3" s="1"/>
  <c r="S28" i="3"/>
  <c r="R28" i="3"/>
  <c r="U24" i="3"/>
  <c r="U23" i="3"/>
  <c r="U22" i="3"/>
  <c r="U21" i="3"/>
  <c r="U20" i="3"/>
  <c r="U19" i="3"/>
  <c r="U18" i="3"/>
  <c r="U17" i="3"/>
  <c r="U16" i="3"/>
  <c r="U15" i="3"/>
  <c r="U14" i="3"/>
  <c r="U13" i="3"/>
  <c r="U12" i="3"/>
  <c r="U11" i="3"/>
  <c r="T34" i="2"/>
  <c r="U34" i="2" s="1"/>
  <c r="S34" i="2"/>
  <c r="R34" i="2"/>
  <c r="T33" i="2"/>
  <c r="U33" i="2" s="1"/>
  <c r="S33" i="2"/>
  <c r="R33" i="2"/>
  <c r="U29" i="2"/>
  <c r="U28" i="2"/>
  <c r="U27" i="2"/>
  <c r="U26" i="2"/>
  <c r="U25" i="2"/>
  <c r="U24" i="2"/>
  <c r="U23" i="2"/>
  <c r="U22" i="2"/>
  <c r="U21" i="2"/>
  <c r="U20" i="2"/>
  <c r="U19" i="2"/>
  <c r="U18" i="2"/>
  <c r="U17" i="2"/>
  <c r="U16" i="2"/>
  <c r="U15" i="2"/>
  <c r="U14" i="2"/>
  <c r="U13" i="2"/>
  <c r="U12" i="2"/>
  <c r="U11" i="2"/>
</calcChain>
</file>

<file path=xl/sharedStrings.xml><?xml version="1.0" encoding="utf-8"?>
<sst xmlns="http://schemas.openxmlformats.org/spreadsheetml/2006/main" count="1499" uniqueCount="584">
  <si>
    <t xml:space="preserve">    Cuarto Trimestre 2018</t>
  </si>
  <si>
    <t>Instituto Mexicano del Seguro Social</t>
  </si>
  <si>
    <t>Programas presupuestarios cuya MIR se incluye en el reporte</t>
  </si>
  <si>
    <t xml:space="preserve">E-001 Prevención y control de enfermedades
E-003 Atención a la Salud en el Trabajo
E-004 Investigación y desarrollo tecnológico en salud
E-006 Recaudación de ingresos obrero patronales
E-007 Servicios de guardería
E-011 Atención a la Salud
E-012 Prestaciones sociales
J-001 Pensiones en curso de pago Ley 1973
J-002 Rentas vitalicias Ley 1997
J-004 Pago de subsidios a los asegurados
K-012 Proyectos de infraestructura social de asistencia y seguridad social
K-029 Programas de adquisiciones
</t>
  </si>
  <si>
    <t xml:space="preserve">      Cuarto Trimestre 2018</t>
  </si>
  <si>
    <t>DATOS DEL PROGRAMA</t>
  </si>
  <si>
    <t>Programa presupuestario</t>
  </si>
  <si>
    <t>E001</t>
  </si>
  <si>
    <t>Prevención y control de enfermedades</t>
  </si>
  <si>
    <t>Ramo</t>
  </si>
  <si>
    <t>50</t>
  </si>
  <si>
    <t>Unidad responsable</t>
  </si>
  <si>
    <t>GYR-Instituto Mexicano del Seguro Social</t>
  </si>
  <si>
    <t>Enfoques transversales</t>
  </si>
  <si>
    <t>Sin Información</t>
  </si>
  <si>
    <t>Clasificación Funcional</t>
  </si>
  <si>
    <t>Finalidad</t>
  </si>
  <si>
    <t>2 - Desarrollo Social</t>
  </si>
  <si>
    <t>Función</t>
  </si>
  <si>
    <t>3 - Salud</t>
  </si>
  <si>
    <t>Subfunción</t>
  </si>
  <si>
    <t>2 - Prestación de Servicios de Salud a la Persona</t>
  </si>
  <si>
    <t>Actividad Institucional</t>
  </si>
  <si>
    <t>3 - Eficacia en la atención médica preventiva</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</si>
  <si>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</si>
  <si>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</si>
  <si>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</si>
  <si>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</si>
  <si>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</si>
  <si>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</si>
  <si>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</si>
  <si>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</si>
  <si>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</si>
  <si>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</si>
  <si>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</si>
  <si>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</si>
  <si>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</si>
  <si>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</si>
  <si>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</si>
  <si>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 consolidar las acciones de protección, promoción de la salud y prevención de enfermedades  mediante  intervenciones que mejoren la salud y la calidad de vida de los derechohabientes.</t>
  </si>
  <si>
    <r>
      <t>Tasa de mortalidad por cáncer cérvico uterino</t>
    </r>
    <r>
      <rPr>
        <i/>
        <sz val="10"/>
        <color indexed="30"/>
        <rFont val="Soberana Sans"/>
      </rPr>
      <t xml:space="preserve">
</t>
    </r>
  </si>
  <si>
    <t>(Número de defunciones por cáncer cérvico uterino ocurridas en mujeres derechohabientes de 25 años y más / Población de mujeres derechohabientes de 25 y más años de edad adscritas a médico familiar) X 100 000</t>
  </si>
  <si>
    <t>Tasa</t>
  </si>
  <si>
    <t>Estratégico-Eficacia-Anual</t>
  </si>
  <si>
    <t/>
  </si>
  <si>
    <r>
      <t>Prevalencia de obesidad en niños de 5 a 11 años de edad</t>
    </r>
    <r>
      <rPr>
        <i/>
        <sz val="10"/>
        <color indexed="30"/>
        <rFont val="Soberana Sans"/>
      </rPr>
      <t xml:space="preserve">
Indicador Seleccionado</t>
    </r>
  </si>
  <si>
    <t>Resulta de la división del número de niños entre 5 y 11 años de edad, cuyo índice de masa corporal se ubica a dos o más desviaciones estándar del valor medio indicado en las tablas de referencia de la Organización Mundial de la Salud, entre el total de niños del mismo grupo etario, multiplicado por 100</t>
  </si>
  <si>
    <t>Porcentaje</t>
  </si>
  <si>
    <t>Estratégico-Eficacia-Bienal</t>
  </si>
  <si>
    <t>N/A</t>
  </si>
  <si>
    <r>
      <t>Tasa de mortalidad por cáncer de mama</t>
    </r>
    <r>
      <rPr>
        <i/>
        <sz val="10"/>
        <color indexed="30"/>
        <rFont val="Soberana Sans"/>
      </rPr>
      <t xml:space="preserve">
</t>
    </r>
  </si>
  <si>
    <t>(Número de defunciones por cáncer de mama ocurridas en mujeres derechohabientes de 25 años y más / Población de mujeres derechohabientes de 25 y más años de edad adscritas a médico familiar) X 100 000</t>
  </si>
  <si>
    <r>
      <t>Porcentaje de cambio entre el año base y el año de registro de casos nuevos confirmados de VIH por transmisión vertical</t>
    </r>
    <r>
      <rPr>
        <i/>
        <sz val="10"/>
        <color indexed="30"/>
        <rFont val="Soberana Sans"/>
      </rPr>
      <t xml:space="preserve">
Indicador Seleccionado</t>
    </r>
  </si>
  <si>
    <t>Resulta de restarle al 100% el cociente del número de casos nuevos en recién nacidos diagnosticados con VIH del Sistema Especial de Vigilancia Epidemiológica de VIH/SIDA al 30 de junio de cada año entre el número de casos nuevos en recién nacidos diagnosticados con VIH del Sistema Especial de Vigilancia Epidemiológica de VIH/SIDA al 30 de junio de 2013.  Se consideran los casos nuevos de transmisión vertical (vía perinatal) diagnosticados con VIH en todas las instituciones del sector salud</t>
  </si>
  <si>
    <r>
      <t>Tasa de mortalidad por tuberculosis pulmonar</t>
    </r>
    <r>
      <rPr>
        <i/>
        <sz val="10"/>
        <color indexed="30"/>
        <rFont val="Soberana Sans"/>
      </rPr>
      <t xml:space="preserve">
</t>
    </r>
  </si>
  <si>
    <t>(Número de defunciones por tuberculosis pulmonar ocurridas en la población derechohabiente de 15 años y más / Población adscrita de 15 años y más adscrita a médico familiar) x 100,000</t>
  </si>
  <si>
    <r>
      <t>Esperanza de Vida al Nacer</t>
    </r>
    <r>
      <rPr>
        <i/>
        <sz val="10"/>
        <color indexed="30"/>
        <rFont val="Soberana Sans"/>
      </rPr>
      <t xml:space="preserve">
</t>
    </r>
  </si>
  <si>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</si>
  <si>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</si>
  <si>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r>
      <t>Porcentaje de cobertura de vacunación con esquema completo en menores de un año</t>
    </r>
    <r>
      <rPr>
        <i/>
        <sz val="10"/>
        <color indexed="30"/>
        <rFont val="Soberana Sans"/>
      </rPr>
      <t xml:space="preserve">
Indicador Seleccionado</t>
    </r>
  </si>
  <si>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</si>
  <si>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Gestión-Eficacia-Anual</t>
  </si>
  <si>
    <t>Propósito</t>
  </si>
  <si>
    <t>En la población derechohabiente del IMSS se reducen la mortalidad por enfermedades prevenibles y los embarazos de alto riesgo.</t>
  </si>
  <si>
    <r>
      <t>Prevalencia de obesidad en niños de 5 a 9 años de edad</t>
    </r>
    <r>
      <rPr>
        <i/>
        <sz val="10"/>
        <color indexed="30"/>
        <rFont val="Soberana Sans"/>
      </rPr>
      <t xml:space="preserve">
</t>
    </r>
  </si>
  <si>
    <t>(NÚMERO DE NIÑOS DERECHOHABIENTES DE 5 A 9 AÑOS CON OBESIDAD EN EL MES INFORMADO /POBLACIÓN DE NIÑOS DE 5 A 9 AÑOS ADSCRITOS A MÉDICO FAMILIAR CON REGISTRO DE PESO Y TALLA EN EL MES INFORMADO)* 100</t>
  </si>
  <si>
    <r>
      <t>Cobertura de atención integral PREVENIMSS</t>
    </r>
    <r>
      <rPr>
        <i/>
        <sz val="10"/>
        <color indexed="30"/>
        <rFont val="Soberana Sans"/>
      </rPr>
      <t xml:space="preserve">
</t>
    </r>
  </si>
  <si>
    <t>(Número de derechohabientes que recibieron atención preventiva integrada  en los últimos 12 meses / Población derechohabiente adscrita a médico familiar)* 100</t>
  </si>
  <si>
    <r>
      <t>Proporción de adolescentes embarazadas</t>
    </r>
    <r>
      <rPr>
        <i/>
        <sz val="10"/>
        <color indexed="30"/>
        <rFont val="Soberana Sans"/>
      </rPr>
      <t xml:space="preserve">
</t>
    </r>
  </si>
  <si>
    <t>(Número de embarazadas adolescentes (de 10-19 años de edad) que acuden por 1a vez a la vigilancia prenatal / Total de embarazadas de 1er vez en vigilancia prenatal) * 100</t>
  </si>
  <si>
    <t>Proporción</t>
  </si>
  <si>
    <t>Componente</t>
  </si>
  <si>
    <t>A Acciones preventivas proporcionadas</t>
  </si>
  <si>
    <r>
      <t>Cobertura de detección de cáncer cérvico uterino a través de citología cervical en mujeres de 25 a 64 años</t>
    </r>
    <r>
      <rPr>
        <i/>
        <sz val="10"/>
        <color indexed="30"/>
        <rFont val="Soberana Sans"/>
      </rPr>
      <t xml:space="preserve">
</t>
    </r>
  </si>
  <si>
    <t>(Número de mujeres de 25 a 64 años con citología cervical de primera vez acumuladas al mes del reporte/ Población de mujeres de 25 a 64 años de edad adscritas a médico familiar menos 11 por ciento (estimación de mujeres sin útero, ENCOPREVENIMSS 2006)) X 100</t>
  </si>
  <si>
    <t>Estratégico-Eficacia-Semestral</t>
  </si>
  <si>
    <r>
      <t>Cobertura de detección de primera vez de diabetes mellitus en población derechohabiente de 20 años y más</t>
    </r>
    <r>
      <rPr>
        <i/>
        <sz val="10"/>
        <color indexed="30"/>
        <rFont val="Soberana Sans"/>
      </rPr>
      <t xml:space="preserve">
</t>
    </r>
  </si>
  <si>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</si>
  <si>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r>
      <t>Cobertura con esquemas completos de vacunación en niños de un año de edad.</t>
    </r>
    <r>
      <rPr>
        <i/>
        <sz val="10"/>
        <color indexed="30"/>
        <rFont val="Soberana Sans"/>
      </rPr>
      <t xml:space="preserve">
</t>
    </r>
  </si>
  <si>
    <t>(Número de niños de un año de edad que tienen completo su esquema de vacunación) /(Población de niños de un año de edad bajo responsabilidad institucional) X 100</t>
  </si>
  <si>
    <r>
      <t>Cobertura de detección de cáncer de mama por mastografía en mujeres de 50 a 69 años</t>
    </r>
    <r>
      <rPr>
        <i/>
        <sz val="10"/>
        <color indexed="30"/>
        <rFont val="Soberana Sans"/>
      </rPr>
      <t xml:space="preserve">
</t>
    </r>
  </si>
  <si>
    <t>(Número de mujeres de 50 a 69 años con mastografía al mes del reporte)/(Población de mujeres de 50 a 69 años de edad adscritas a médico familiar)*100</t>
  </si>
  <si>
    <r>
      <t>Cobertura de detección de hipertensión arterial en población derechohabiente de 20 años y más</t>
    </r>
    <r>
      <rPr>
        <i/>
        <sz val="10"/>
        <color indexed="30"/>
        <rFont val="Soberana Sans"/>
      </rPr>
      <t xml:space="preserve">
</t>
    </r>
  </si>
  <si>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</si>
  <si>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t>B Acciones de planificación familiar otorgadas</t>
  </si>
  <si>
    <r>
      <t>Logro de aceptantes en relación con la meta programada en consulta externa de medicina familiar</t>
    </r>
    <r>
      <rPr>
        <i/>
        <sz val="10"/>
        <color indexed="30"/>
        <rFont val="Soberana Sans"/>
      </rPr>
      <t xml:space="preserve">
</t>
    </r>
  </si>
  <si>
    <t>(Aceptantes de métodos anticonceptivos en consulta externa / Meta de aceptantes de métodos anticonceptivos en consulta externa) * 100</t>
  </si>
  <si>
    <t>Actividad</t>
  </si>
  <si>
    <t>A 1 Promoción en la población en edad fértil, de las ventajas de adoptar un método anticonceptivo de acuerdo a su condición de salud y sus factores de riesgoreproductivo.</t>
  </si>
  <si>
    <r>
      <t>Porcentaje de entrevistas de consejería anticonceptiva</t>
    </r>
    <r>
      <rPr>
        <i/>
        <sz val="10"/>
        <color indexed="30"/>
        <rFont val="Soberana Sans"/>
      </rPr>
      <t xml:space="preserve">
</t>
    </r>
  </si>
  <si>
    <t>(N° de entrevistas de consejería anticonceptiva realizadas / N° de entrevistas de consejería anticonceptiva programadas)*100</t>
  </si>
  <si>
    <t>Gestión-Eficacia-Trimestral</t>
  </si>
  <si>
    <t>A 2 Medición de peso y talla en derechohabientes adscritos a médico familiar</t>
  </si>
  <si>
    <r>
      <t>Porcentaje de medición de peso y talla en población derechohabiente</t>
    </r>
    <r>
      <rPr>
        <i/>
        <sz val="10"/>
        <color indexed="30"/>
        <rFont val="Soberana Sans"/>
      </rPr>
      <t xml:space="preserve">
</t>
    </r>
  </si>
  <si>
    <t>(Número de derechohabientes con medición de peso y talla acumulado al mes evaluado /Total de derechohabientes adscritos a médico familiar)* 100</t>
  </si>
  <si>
    <t>A 3 Otorgamiento de atenciones preventivas integradas por grupo de edad.</t>
  </si>
  <si>
    <r>
      <t xml:space="preserve">Porcentaje de Atención Preventiva Integrada </t>
    </r>
    <r>
      <rPr>
        <i/>
        <sz val="10"/>
        <color indexed="30"/>
        <rFont val="Soberana Sans"/>
      </rPr>
      <t xml:space="preserve">
</t>
    </r>
  </si>
  <si>
    <t>(Número de Atenciones Preventivas Integradas otorgadas en el mes evaluado) /(Total de atenciones otorgadas por el personal de enfermería en el mes evaluado) * 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</si>
  <si>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</si>
  <si>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</si>
  <si>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</si>
  <si>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</si>
  <si>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</si>
  <si>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</si>
  <si>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</si>
  <si>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</si>
  <si>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</si>
  <si>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</si>
  <si>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con un periodo mayor de tiempo al anual. 
Estos indicadores no registraron información ni justificación, debido a que lo harán de conformidad con la frecuencia de medición con la que programaron sus metas. </t>
  </si>
  <si>
    <r>
      <t xml:space="preserve">Tasa de mortalidad por cáncer cérvico uterino
</t>
    </r>
    <r>
      <rPr>
        <sz val="10"/>
        <rFont val="Soberana Sans"/>
        <family val="2"/>
      </rPr>
      <t xml:space="preserve"> Causa : Información estimada a diciembre de 2018 con base en el comportamiento mensual observado enero - agosto del mismo año.           El logro estimado a diciembre fue de 4.4 por 100,000 mujeres derechohabientes de 25 y más años adscritas a médico familiar, cifra con la que se supero la meta establecida (menor de 5).     Los factores que influyeron fueron: el identificar oportunamente a las mujeres con lesiones precursoras de cáncer y cáncer, a través de la citología cérvical y asegurar el diagnóstico y tratamiento oportuno. Efecto: El rebasar la meta permitió reducir la mortalidad por este padecimiento  al presentar una tasa de 4.4  por 100,000 mujeres de 25 y más años en 2017 y 2018. Otros Motivos:</t>
    </r>
  </si>
  <si>
    <r>
      <t xml:space="preserve">Prevalencia de obesidad en niños de 5 a 11 años de edad
</t>
    </r>
    <r>
      <rPr>
        <sz val="10"/>
        <rFont val="Soberana Sans"/>
        <family val="2"/>
      </rPr>
      <t>Sin Información,Sin Justificación</t>
    </r>
  </si>
  <si>
    <r>
      <t xml:space="preserve">Tasa de mortalidad por cáncer de mama
</t>
    </r>
    <r>
      <rPr>
        <sz val="10"/>
        <rFont val="Soberana Sans"/>
        <family val="2"/>
      </rPr>
      <t xml:space="preserve"> Causa : Información estimada a diciembre de 2018 con base en el comportamiento mensual observado enero - octubre del mismo año.  El logro a diciembre fue de 8.5 por 100,000 mujeres derechohabientes de 25 y más años adscritas a médico familiar, cifra con la que se superó la meta establecida (menos de 9.5).  Los factores que influyeron para superar la meta fueron: mantener la cobertura de detección por mastografía y el asegurar el diagnóstico y tratamiento oportuno. Efecto: El superar la meta permitió mantener la tendencia descendente de la mortalidad por este padecimiento en la población de mujeres derechohabiente adscritas a médico familiar de 25 y más años del IMSS Otros Motivos:</t>
    </r>
  </si>
  <si>
    <r>
      <t xml:space="preserve">Porcentaje de cambio entre el año base y el año de registro de casos nuevos confirmados de VIH por transmisión vertical
</t>
    </r>
    <r>
      <rPr>
        <sz val="10"/>
        <rFont val="Soberana Sans"/>
        <family val="2"/>
      </rPr>
      <t>Sin Información,Sin Justificación</t>
    </r>
  </si>
  <si>
    <r>
      <t xml:space="preserve">Tasa de mortalidad por tuberculosis pulmonar
</t>
    </r>
    <r>
      <rPr>
        <sz val="10"/>
        <rFont val="Soberana Sans"/>
        <family val="2"/>
      </rPr>
      <t xml:space="preserve"> Causa : Es información preliminar el numerador, del número de decesos de tuberculosis de localización pulmonar. La información está hasta el mes de septiembre de 2018.  Efecto: Se cuente con una tasa de mortalidad más baja a la programada. Otros Motivos:Información preliminar, al mes de septiembre de 2018. La División de Información en Salud es la responsable de proporcionar este dato.</t>
    </r>
  </si>
  <si>
    <r>
      <t xml:space="preserve">Esperanza de Vida al Nacer
</t>
    </r>
    <r>
      <rPr>
        <sz val="10"/>
        <rFont val="Soberana Sans"/>
        <family val="2"/>
      </rPr>
      <t xml:space="preserve"> Causa : El indicador es estimado, además es sensible a las defunciones y la población, que son necesarios para su cálculo, es posible que la cifra definitiva quede por debajo de la meta establecida. Sin embargo, este resultado preliminar es ligeramente superior a la meta establecida. Efecto: Este resultado es debido, entre otras razones, a las acciones de prevención, control y tratamiento de las enfermedades transmisibles y no transmisibles, tales como los programas PREVENIMSS, DIABETIMSS Y GERIATRIMSS. Otros Motivos:La variabilidad de las defunciones y la población, que son datos necesarios para su cálculo.</t>
    </r>
  </si>
  <si>
    <r>
      <t xml:space="preserve">Porcentaje de cobertura de vacunación con esquema completo en menores de un año
</t>
    </r>
    <r>
      <rPr>
        <sz val="10"/>
        <rFont val="Soberana Sans"/>
        <family val="2"/>
      </rPr>
      <t>Sin Información,Sin Justificación</t>
    </r>
  </si>
  <si>
    <r>
      <t xml:space="preserve">Prevalencia de obesidad en niños de 5 a 9 años de edad
</t>
    </r>
    <r>
      <rPr>
        <sz val="10"/>
        <rFont val="Soberana Sans"/>
        <family val="2"/>
      </rPr>
      <t xml:space="preserve"> Causa : Información estimada a Información estimada a diciembre de 2018 con base en el comportamiento mensual observado enero - septiembre del mismo año.         El logro estimado a diciembre  fue de 12.2%, cifra superior superior a la meta programada (12.0%). Si bien el logro es superior a la meta programada, de acuerdo a las características del indicador, que es descendente, lo que se espera es que sea menor a la meta.      Los factores que afectaron el logro de la meta fueron: la baja afluencia a las unidades de medicina familiar de este grupo de edad lo que evitó que se les otorgará consejos breves para la modificación de estilos de vida, principalmente sobre alimentación correcta, consumo de agua simple potable y realización de actividad física. Efecto: El alcanzar una prevalencia de obesidad de 12.2% en niños de cinco a nueve años, ha permitido mantener una tendencia descendente de este padecimiento en los niños derechohabientes del IMSS, con respecto a años anteriores (12.6% para 2017). Otros Motivos:</t>
    </r>
  </si>
  <si>
    <r>
      <t xml:space="preserve">Cobertura de atención integral PREVENIMSS
</t>
    </r>
    <r>
      <rPr>
        <sz val="10"/>
        <rFont val="Soberana Sans"/>
        <family val="2"/>
      </rPr>
      <t xml:space="preserve"> Causa : Información estimada al mes de diciembre de 2018, con base en el comportamiento observado de enero - agosto del mismo año.   La cobertura anualizada al mes de diciembre fue de 59.5%, cifra  inferior a la meta establecida para el segundo semestre (66.50%).  Los factores que afectaron el logro de la meta fueron el  retraso en algunas licitaciones para la compra de los insumos requeridos para otorgar la atención preventiva, lo que ocasionó oportunidades perdidas.                Efecto: No obstante que no se alcanzó la meta, el resultado permitió que 28,203,466 derechohabientes que regresaron en el último año, recibieran el conjunto de acciones educativas, de nutrición, prevención, protección específica, detección oportuna y salud reproductiva que conforman el programa de salud de cada grupo de edad. Otros Motivos:</t>
    </r>
  </si>
  <si>
    <r>
      <t xml:space="preserve">Proporción de adolescentes embarazadas
</t>
    </r>
    <r>
      <rPr>
        <sz val="10"/>
        <rFont val="Soberana Sans"/>
        <family val="2"/>
      </rPr>
      <t xml:space="preserve"> Causa : Información  estimada al mes de diciembre de 2018.  Las acciones de comunicación educativas se fortalecieron en el transcurso del año con cursos de actualización normativa y de consejería, con lo que se mejora la interacción con los adolescentes. Efecto: La cifra estimada del número de embarazadas adolescentes es menor a la meta programada para este 4to trimestre con 1,756 adolescentes menos embarazadas correpondiendo a 2.8% por debajo de la meta del 4to trimestre. y 2,989  embarazadas adolescentes menos que en el mismo periodo de 2017. Otros Motivos:</t>
    </r>
  </si>
  <si>
    <r>
      <t xml:space="preserve">Cobertura de detección de cáncer cérvico uterino a través de citología cervical en mujeres de 25 a 64 años
</t>
    </r>
    <r>
      <rPr>
        <sz val="10"/>
        <rFont val="Soberana Sans"/>
        <family val="2"/>
      </rPr>
      <t xml:space="preserve"> Causa : Información estimada  al mes de diciembre de 2018, con base en el comportamiente observado de enero - septiembre del mismo año   La cobertura estimada  fue de 24.0%, cifra por debajo de la meta establecida para el primer semestre  (30.0%)   Los factores que influyeron para obtener estos resultados fueron:   - Retraso en la licitación de algunos insumos necesarios para realizar el papanicolau.   - Incremnto de 5.7% de la población de mujeres derechohabientes de 25 a 64 años de edad, con respecto a 2017.   - Alta rotación de personal de enfermería que realiza la detección. Efecto: El logro obtenido permitió identificar oportunamente 5,173 casos de displasia cervical leve y moderada; 788 de displasia severa y cáncer in situ, así como 920 de tumor maligno del cuello del útero en mujeres de 25 años y más.  Otros Motivos:</t>
    </r>
  </si>
  <si>
    <r>
      <t xml:space="preserve">Cobertura de detección de primera vez de diabetes mellitus en población derechohabiente de 20 años y más
</t>
    </r>
    <r>
      <rPr>
        <sz val="10"/>
        <rFont val="Soberana Sans"/>
        <family val="2"/>
      </rPr>
      <t xml:space="preserve"> Causa : Información estimada  al mes de diciembre de 2018, con base en el comportamiente observado de enero a septiembre del mismo año  La cobertura alcanzada fue  21.1%, cifra por debajo de la meta establecida   (33.0%)  Los factores que influyeron para obtener estos resultados fueron:  - Retraso en la licitación de tiras reactivas y lancetas para la toma de la glucosa capilar, lo que ocasionó desabasto en algunas delegaciones del sistema y en consecuencia oportunidades perdidas para esta detcción.  - Incremento de la población derechohabiente de 20 años y más en dos millones de 2017 a 2018.      Efecto: El logro obtenido permitió identificar a  398,860 sospechosos de padecer diabetes mellitus, los cuales se derivaron  con el médico familiar para su confirmación. Otros Motivos:</t>
    </r>
  </si>
  <si>
    <r>
      <t xml:space="preserve">Cobertura con esquemas completos de vacunación en niños de un año de edad.
</t>
    </r>
    <r>
      <rPr>
        <sz val="10"/>
        <rFont val="Soberana Sans"/>
        <family val="2"/>
      </rPr>
      <t xml:space="preserve"> Causa : Información estimada al mes de diciembre de 2018, con fundamento en el número de dosis aplicadas de vacunas del esquema básico reportadas por la Delegaciones.   El logro a diciembre se encuentra por debajo del referente nacional de 95%, los factores que afectaron en el logro de la meta fueron:  retraso en la adquisición de la vacuna Triple viral desde el 2017, donde se adquirieron únicamente 374,000 dosis de 1,433,250 dosis del requerimiento total, lo que ocasiona que no se contará con reservas de esta vacuna.  Respecto al abasto 2018 de vacuna triple viral, sucedió lo siguiente:  1.- Retraso en la liberación de lotes por parte de COFEPRIS.  2.- Entregas inoportunas de los productos por parte del proveedor.    Efecto: El mantenimiento de la erradicación, eliminación y control epidemiológico de las enfermedades inmunoprevenibles sugiere que las coberturas de vacunación, aún con la problemática de abastecimiento, se encuentran en niveles de eficacia. Otros Motivos:</t>
    </r>
  </si>
  <si>
    <r>
      <t xml:space="preserve">Cobertura de detección de cáncer de mama por mastografía en mujeres de 50 a 69 años
</t>
    </r>
    <r>
      <rPr>
        <sz val="10"/>
        <rFont val="Soberana Sans"/>
        <family val="2"/>
      </rPr>
      <t xml:space="preserve"> Causa : Información estimada  al mes de diciembre  de 2018, con base en el comportamiente observado de enero - septiembre del mismo año.  La cobertura  estimada a diciembre fue de 20.0%, cifra  con la que se alcanzó la meta establecida  Los factores que influyeron para alcanzar el logro fueron:  - Derivación de los derechohabientes que acuden a la unidad médica por otro motivo  a los módulos PREVENIMSS.  - Contar oportunamente con los insumos para la detección. Efecto: El logro alcanzado  permitió identificar  oportunamente 2,136 casos de  tumor maligno de mama en mujeres de 50 y más años. Otros Motivos:</t>
    </r>
  </si>
  <si>
    <r>
      <t xml:space="preserve">Cobertura de detección de hipertensión arterial en población derechohabiente de 20 años y más
</t>
    </r>
    <r>
      <rPr>
        <sz val="10"/>
        <rFont val="Soberana Sans"/>
        <family val="2"/>
      </rPr>
      <t xml:space="preserve"> Causa : Información estimada  al mes de diciembre de 2018, con base en el comportamiente observado a septiembre del mismo año.  La cobertura acanzada fue de 61.4%, cifra inferior a la meta anual establecida (65.0%).  Los factores que influyeron para obtener estos resultados fueron:  - Incremnto del 7.2% de la población blanco (1,771,244) con respecto al mismo periodo del año anterior, mientras que los recursos humanos y de equipamiento (baumanómetro) se mantuvieron sin crecimiento. Efecto: El logro obtenido permitió identificar a 2 895,494 sospechosos de padecer hipertensión arterial, los cuales se derivaron  con el médico familiar para su confirmación.  Otros Motivos:</t>
    </r>
  </si>
  <si>
    <r>
      <t xml:space="preserve">Logro de aceptantes en relación con la meta programada en consulta externa de medicina familiar
</t>
    </r>
    <r>
      <rPr>
        <sz val="10"/>
        <rFont val="Soberana Sans"/>
        <family val="2"/>
      </rPr>
      <t xml:space="preserve"> Causa : Información  estimada al mes de diciembre de 2018.      El número de aceptantes obtenidos no alcanza la meta progamada debido a que se encontro en algunas delegaciones que no era registrada adecuadamente la información perdiendo productividad, por lo que se dio  la indicación de corregir los errores identificados, recuperando aceptantes aunque no en su totalidad.  Efecto: Los errores de captura encontrados en algunas delegaciones afecto el número de aceptantes y por consiguiente el porcentaje obtenido según la meta programada; sin embargo las acciones de prescripción de métodos continua; y se dará seguimiento en la corrección de los problemas identificados. Otros Motivos:</t>
    </r>
  </si>
  <si>
    <r>
      <t xml:space="preserve">Porcentaje de entrevistas de consejería anticonceptiva
</t>
    </r>
    <r>
      <rPr>
        <sz val="10"/>
        <rFont val="Soberana Sans"/>
        <family val="2"/>
      </rPr>
      <t xml:space="preserve"> Causa : Información  estimada al mes de diciembre de 2018.      Gracias al  personal operativo de enfermería y trabajo social que efectuan de manera sistemática entrevistas a las mujeres y hombres en edad reproductiva con el objetivo de identificar riesgo reproductivo y dan a conocer los beneficios y ventajas de postergar o limitar la reproducción acorde a las expectativas de cada persona. El trabajo realizado impacta  en el número de aceptantes. Efecto: La información otorgada impacto en el número de aceptantes de métodos anticonceptivos y se favorece la prevención de morbilidad y mortalidad materna y perinatal. Otros Motivos:</t>
    </r>
  </si>
  <si>
    <r>
      <t xml:space="preserve">Porcentaje de medición de peso y talla en población derechohabiente
</t>
    </r>
    <r>
      <rPr>
        <sz val="10"/>
        <rFont val="Soberana Sans"/>
        <family val="2"/>
      </rPr>
      <t xml:space="preserve"> Causa : Información estimada al mes de diciembre de 2018,  con base en el comportamiento mensual observado a septiembre del mismo año  El logro estimado a diciembre de 2018 fue de 60.0% cifra cuatro puntos porcentualñes por debajo de la meta establecida (64.0%).  Los factores que afectaron el logro de la meta fueron:   - Incremento de  la población derechohabiente en 7.5%, esto es 3 306,032 más que en 2017.  - Baja afluencia de los derechohabientes de reciente adscripción a los módulos PREVENIMSS y a las Unidades Médicas.       Efecto: El logro alcanzado permitio que a 28 464,025 derechohabientes se les evaluará su estado nutricional y se les otorgaran  recomendaciones relacionadas primordialmente con actividad física y cambios en los hábitos de alimentación, para revertir el problema de sobrepeso/obesidad. Otros Motivos:</t>
    </r>
  </si>
  <si>
    <r>
      <t xml:space="preserve">Porcentaje de Atención Preventiva Integrada 
</t>
    </r>
    <r>
      <rPr>
        <sz val="10"/>
        <rFont val="Soberana Sans"/>
        <family val="2"/>
      </rPr>
      <t xml:space="preserve"> Causa : Información estimada al mes de diciembre de 2018, con base en el comportamiento mensual observado a septiembre del mismo año  El logro estimado a diciembre de 2018 fue de 91.2% cifra inferior a la meta establecida (95%)  Los factores que afectaron el logro de la meta fueron: Desabasto de algunos insumos para llevar a cabo las detecciones y de vacunas, así como rotación del personal de enfermería que otorga la atención preventiva integrada. Efecto: El  logro obtenido permitió que de cada 100 derechohabientes se otorgara a 91 de ellos el conjunto de acciones educativas, de nutrición, prevención, protección específica, detección oportuna y salud reproductiva que les corresponde de acuerdo a su grupo de edad y sexo.  Otros Motivos:</t>
    </r>
  </si>
  <si>
    <t>E003</t>
  </si>
  <si>
    <t>Atención a la Salud en el Trabajo</t>
  </si>
  <si>
    <t>4 - Oportunidad en la atención curativa, quirúrgica, hospitalaria y de rehabilitación</t>
  </si>
  <si>
    <t>Contribuir a reducir los riesgos que afectan la salud de la población en cualquier actividad de su vida mediante el otorgamiento de los servicios de Salud en el Trabajo.</t>
  </si>
  <si>
    <t>AÑOS</t>
  </si>
  <si>
    <r>
      <t>Tasa de mortalidad por riesgos de trabajo</t>
    </r>
    <r>
      <rPr>
        <i/>
        <sz val="10"/>
        <color indexed="30"/>
        <rFont val="Soberana Sans"/>
      </rPr>
      <t xml:space="preserve">
Indicador Seleccionado</t>
    </r>
  </si>
  <si>
    <t>Resulta de la división del número de defunciones por accidentes y enfermedades de trabajo entre el total de trabajadores asegurados en el Seguro de Riesgos de Trabajo multiplicado por 10,000; anualmente</t>
  </si>
  <si>
    <t>tasa</t>
  </si>
  <si>
    <t>Los Trabajadores asegurados acuden a los servicios de Salud en el Trabajo para tener acceso a las prestaciones que por ley les corresponden en el ramo de Riesgos de Trabajo e Invalidez y Vida.</t>
  </si>
  <si>
    <r>
      <t>Porcentaje de Cobertura de los servicios de Salud en el Trabajo</t>
    </r>
    <r>
      <rPr>
        <i/>
        <sz val="10"/>
        <color indexed="30"/>
        <rFont val="Soberana Sans"/>
      </rPr>
      <t xml:space="preserve">
</t>
    </r>
  </si>
  <si>
    <t>(Número de trabajadores que recibieron atención en materia de prevención y atención de los riesgos de trabajo, determinación del estado de Invalidez y reincorporación laboral en el periodo de reporte (t)  / Promedio de trabajadores asegurados para riesgos de trabajo e invalidez en el periodo de reporte (t))  X 100</t>
  </si>
  <si>
    <t>Estratégico-Eficacia-Trimestral</t>
  </si>
  <si>
    <t>A Dictamenes de incapacidad permanente o defunción autorizados oportunamente</t>
  </si>
  <si>
    <r>
      <t>Porcentaje de dictámenes de incapacidad permanente y de defunción autorizados oportunamente</t>
    </r>
    <r>
      <rPr>
        <i/>
        <sz val="10"/>
        <color indexed="30"/>
        <rFont val="Soberana Sans"/>
      </rPr>
      <t xml:space="preserve">
</t>
    </r>
  </si>
  <si>
    <t>(Número de dictámenes de incapacidad permanente y defunción autorizados en 15 días o menos por salud en el trabajo, según delegación origen, emitidos en el periodo de reporte (t) / el número de dictámenes de incapacidad permanente y defunción autorizados por los servicios de salud en el trabajo según delegación origen emitidos en el periodo de reporte(t)) X 100</t>
  </si>
  <si>
    <t>Estratégico-Calidad-Trimestral</t>
  </si>
  <si>
    <t>B Dictamenes de Invalidez autorizados oportunamente</t>
  </si>
  <si>
    <r>
      <t>Porcentaje de dictámenes de invalidez autorizados oportunamente</t>
    </r>
    <r>
      <rPr>
        <i/>
        <sz val="10"/>
        <color indexed="30"/>
        <rFont val="Soberana Sans"/>
      </rPr>
      <t xml:space="preserve">
</t>
    </r>
  </si>
  <si>
    <t>(Número de dictámenes de invalidez autorizados en 15 días o menos por salud en el trabajo, según delegación origen, emitidos en el periodo de reporte (t) / el número de dictámenes de invalidez autorizados por los servicios de salud en el trabajo según delegación origen emitidos en el periodo de reporte(t)) X 100</t>
  </si>
  <si>
    <t>C Acciones eficientes de Prevención de Accidentes de trabajo, en las empresas afiliadas, mediante estudios y programas de Seguridad en el Trabajo realizados</t>
  </si>
  <si>
    <r>
      <t>Porcentaje de variación de la tasa de accidentes de trabajo en empresas intervenidas con programas preventivos de Seguridad en el Trabajo</t>
    </r>
    <r>
      <rPr>
        <i/>
        <sz val="10"/>
        <color indexed="30"/>
        <rFont val="Soberana Sans"/>
      </rPr>
      <t xml:space="preserve">
</t>
    </r>
  </si>
  <si>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</si>
  <si>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D Detección del nivel de satisfacción de las empresas afiliadas intervenidas con estudios y programas preventivos de Seguridad en el Trabajo</t>
  </si>
  <si>
    <r>
      <t>Porcentaje de Satisfacción de Empresas Usuarias de los Servicios de Seguridad en el Trabajo</t>
    </r>
    <r>
      <rPr>
        <i/>
        <sz val="10"/>
        <color indexed="30"/>
        <rFont val="Soberana Sans"/>
      </rPr>
      <t xml:space="preserve">
</t>
    </r>
  </si>
  <si>
    <t>(Total de encuestas recibidas con calificación igual o superior al 80 por ciento, de empresas con seguimientos de programa preventivo de seguridad en el trabajo (t) / Total de encuestas recibidas de empresas con seguimientos de programa preventivo de seguridad en el trabajo (t)) X 100</t>
  </si>
  <si>
    <t>Estratégico-Calidad-Semestral</t>
  </si>
  <si>
    <t>E Accidentes y enfermedades de trabajo dictaminados</t>
  </si>
  <si>
    <r>
      <t>Cumplimiento promedio de las acciones en calificación de accidentes y enfermedades de trabajo y dictaminación de incapacidades permanentes y defunciones.</t>
    </r>
    <r>
      <rPr>
        <i/>
        <sz val="10"/>
        <color indexed="30"/>
        <rFont val="Soberana Sans"/>
      </rPr>
      <t xml:space="preserve">
</t>
    </r>
  </si>
  <si>
    <t>(Porcentaje de cumplimiento de la calificación accidentes de trabajo Acumulado al trimestre del reporte (t) + Porcentaje de cumplimiento de la calificación de accidentes en trayecto acumulado al trimestre del reporte (t) + Porcentaje de cumplimiento de la calificación de enfermedades de trabajo acumulado al trimestre del reporte (t) + Porcentaje de cumplimiento de la dictaminación de incapacidades permanentes y defunciones acumulado al trimestre del reporte (t))/4</t>
  </si>
  <si>
    <t>A 1 Elaboración y autorización de Dictámenes de Incapacidad Permanente o Defunción a través de Módulo Electrónico de Salud en el Trabajo</t>
  </si>
  <si>
    <r>
      <t xml:space="preserve"> Porcentaje de Dictámenes de incapacidad permanente y defunción autorizados a través del Módulo Electrónico de Salud en el Trabajo</t>
    </r>
    <r>
      <rPr>
        <i/>
        <sz val="10"/>
        <color indexed="30"/>
        <rFont val="Soberana Sans"/>
      </rPr>
      <t xml:space="preserve">
</t>
    </r>
  </si>
  <si>
    <t>(Número de dictámenes de incapacidad permanente y defunción autorizados en el módulo electrónico de salud en el trabajo acumulados al periodo de reporte (t)/  Número de dictámenes de incapacidad permanente y de defunción autorizados al periodo de reporte (t)) x 100</t>
  </si>
  <si>
    <t>B 2 Elaboración y autorización de Dictámenes de Invalidez a través de Módulo Electrónico de Salud en el Trabajo</t>
  </si>
  <si>
    <r>
      <t>Porcentaje de Dictamenes de Invalidez  autorizados a través del Módulo Electrónico de Salud en el Trabajo</t>
    </r>
    <r>
      <rPr>
        <i/>
        <sz val="10"/>
        <color indexed="30"/>
        <rFont val="Soberana Sans"/>
      </rPr>
      <t xml:space="preserve">
</t>
    </r>
  </si>
  <si>
    <t>(Número de dictámenes de invalidez autorizados a través del Módulo Electrónico de Salud en el Trabajo al periodo de reporte (t) / Total de dictámenes de invalidez autorizados en el periodo de reporte (t)) x 100</t>
  </si>
  <si>
    <t>C 3 Cursos de capacitación en seguridad y salud en el trabajo dirigidos a las empresas afiliadas al Instituto Mexicano del Seguro Social</t>
  </si>
  <si>
    <r>
      <t>Porcentaje de cumplimiento en la capacitación de trabajadores en seguridad y salud en el trabajo</t>
    </r>
    <r>
      <rPr>
        <i/>
        <sz val="10"/>
        <color indexed="30"/>
        <rFont val="Soberana Sans"/>
      </rPr>
      <t xml:space="preserve">
</t>
    </r>
  </si>
  <si>
    <t>(Número de trabajadores de empresas afiliadas y centros laborales del IMSS capacitados en seguridad y salud en el trabajo (t) / Número de trabajadores de empresas afiliadas y centros laborales del IMSS a capacitar en seguridad y salud en el trabajo (t)) x 100.</t>
  </si>
  <si>
    <t>C 4 Elaboración de Estudios y Programas Preventivos de Seguridad en el Trabajo, en empresas afiliadas, para la disminución de accidentes de trabajo</t>
  </si>
  <si>
    <r>
      <t>Porcentaje de cumplimiento en la elaboración de estudios y programas preventivos de seguridad en el trabajo</t>
    </r>
    <r>
      <rPr>
        <i/>
        <sz val="10"/>
        <color indexed="30"/>
        <rFont val="Soberana Sans"/>
      </rPr>
      <t xml:space="preserve">
</t>
    </r>
  </si>
  <si>
    <t>(Número de estudios y programas preventivos de seguridad en el trabajo realizados en empresas afiliadas y centros laborales del Instituto Mexicano del Seguro Social / Número de estudios y programas preventivos de seguridad en el trabajo programados en empresas afiliadas y centros laborales del Instituto Mexicano del Seguro Social) x 100</t>
  </si>
  <si>
    <t>D 5 Seguimientos a las empresas intervenidas con estudios y programas preventivos de seguridad en el trabajo</t>
  </si>
  <si>
    <r>
      <t>Porcentaje de seguimientos realizados en empresas con programas preventivos de seguridad en el trabajo.</t>
    </r>
    <r>
      <rPr>
        <i/>
        <sz val="10"/>
        <color indexed="30"/>
        <rFont val="Soberana Sans"/>
      </rPr>
      <t xml:space="preserve">
</t>
    </r>
  </si>
  <si>
    <t>(Total de seguimientos realizados a empresas con programas preventivos de seguridad en el trabajo (t) / Total de seguimientos programados a empresas con programas preventivos de seguridad en el trabajo (t)) x 100.</t>
  </si>
  <si>
    <t>E 6 Calificación de los probables riesgos de trabajo</t>
  </si>
  <si>
    <r>
      <t>Porcentaje de Calificación de los probables riesgos de trabajo</t>
    </r>
    <r>
      <rPr>
        <i/>
        <sz val="10"/>
        <color indexed="30"/>
        <rFont val="Soberana Sans"/>
      </rPr>
      <t xml:space="preserve">
</t>
    </r>
  </si>
  <si>
    <t>Número de riesgos de trabajo calificados y terminados en el periodo de reporte (t) / (Número de riesgos de trabajo calificados y terminados en el periodo de reporte (t) + Número de probables riesgos de trabajo pendientes de calificar en el periodo de reporte(t)) x 100</t>
  </si>
  <si>
    <r>
      <t xml:space="preserve">Tasa de mortalidad por riesgos de trabajo
</t>
    </r>
    <r>
      <rPr>
        <sz val="10"/>
        <rFont val="Soberana Sans"/>
        <family val="2"/>
      </rPr>
      <t>Sin Información,Sin Justificación</t>
    </r>
  </si>
  <si>
    <r>
      <t xml:space="preserve">Porcentaje de Cobertura de los servicios de Salud en el Trabajo
</t>
    </r>
    <r>
      <rPr>
        <sz val="10"/>
        <rFont val="Soberana Sans"/>
        <family val="2"/>
      </rPr>
      <t xml:space="preserve"> Causa : Si bien los servicios de Salud y Seguridad en el Trabajo han realizado sus acciones en forma oportuna y de acuerdo a los procedimientos institucionales; sin embargo el porcentaje de esta meta disminuyó ya que la proyección de la población usuaria (denominador) que se hizo en el momento de la planeación de la MIR resultó ser menor a la población real en este periodo, a pesar de que se realizaron las acciones proyectadas para este periodo (numerador). Efecto: Se registra un cumplimiento muy cercano a lo planeado teniendo una diferencia de 0.03 con respecto a la meta. Otros Motivos:</t>
    </r>
  </si>
  <si>
    <r>
      <t xml:space="preserve">Porcentaje de dictámenes de incapacidad permanente y de defunción autorizados oportunamente
</t>
    </r>
    <r>
      <rPr>
        <sz val="10"/>
        <rFont val="Soberana Sans"/>
        <family val="2"/>
      </rPr>
      <t xml:space="preserve"> Causa : A partir del 4to trimestre de 2017 se modificó la forma de supervisar la información, siendo aún más estricta al revisar los casos de forma nominal, lo que permitirá que las Delegaciones clasifiquen correctamente si hubo oportunidad en la autorización de los casos; además las respuestas de la mesa de servicios tecnológicos no son oportunas, en casos de dictamenes con problemas en el modulo electrónico de salud en el trabajo. Efecto: 9.59 puntos por debajo de la meta. El resultado permitirá a las delegaciones visualizar el área de oportunidad para mejorar en el proceso de autorización de dictámenes. Otros Motivos:</t>
    </r>
  </si>
  <si>
    <r>
      <t xml:space="preserve">Porcentaje de dictámenes de invalidez autorizados oportunamente
</t>
    </r>
    <r>
      <rPr>
        <sz val="10"/>
        <rFont val="Soberana Sans"/>
        <family val="2"/>
      </rPr>
      <t xml:space="preserve"> Causa : A partir del 4to trimestre de 2017 se modificó la forma de supervisar la información, siendo aún más estricta al revisar los casos de forma nominal, lo que permitirá que las Delegaciones clasifiquen correctamente si hubo oportunidad en la autorización de los casos; además las respuestas de la mesa de servicios tecnológicos no son oportunas, en casos de dictamenes con problemas en el modulo electrónico de salud en el trabajo. Efecto: 11.01 puntos por debajo de la meta. El resultado permitirá a las delegaciones visualizar el área de oportunidad para mejorar en el proceso de autorización de dictámenes. Otros Motivos:</t>
    </r>
  </si>
  <si>
    <r>
      <t xml:space="preserve">Porcentaje de variación de la tasa de accidentes de trabajo en empresas intervenidas con programas preventivos de Seguridad en el Trabajo
</t>
    </r>
    <r>
      <rPr>
        <sz val="10"/>
        <rFont val="Soberana Sans"/>
        <family val="2"/>
      </rPr>
      <t xml:space="preserve"> Causa : Ha existido mayor interés y compromiso de los patrones a los que se les han realizado programas preventivos de seguridad e higiene en el trabajo, al implementar con mayor efectividad las medidas y prácticas seguras proporcionadas por el IMSS para la prevención de accidentes de trabajo. Efecto: Registrar un cumplimiento del 1.88 por ciento superior a lo esperado en relación a lo planeado en el periodo. Otros Motivos:</t>
    </r>
  </si>
  <si>
    <r>
      <t xml:space="preserve">Porcentaje de Satisfacción de Empresas Usuarias de los Servicios de Seguridad en el Trabajo
</t>
    </r>
    <r>
      <rPr>
        <sz val="10"/>
        <rFont val="Soberana Sans"/>
        <family val="2"/>
      </rPr>
      <t xml:space="preserve"> Causa : Las emperesas a las que se les aplicó la encuesta, refieren estar conformes y satisfechas con el servicio prestado por el personal de Seguridad en el Trabajo del IMSS. Efecto: Registrar un cumplimiento del 2 por ciento superior a lo esperado en relación a lo planeado en el periodo. Otros Motivos:</t>
    </r>
  </si>
  <si>
    <r>
      <t xml:space="preserve">Cumplimiento promedio de las acciones en calificación de accidentes y enfermedades de trabajo y dictaminación de incapacidades permanentes y defunciones.
</t>
    </r>
    <r>
      <rPr>
        <sz val="10"/>
        <rFont val="Soberana Sans"/>
        <family val="2"/>
      </rPr>
      <t xml:space="preserve"> Causa : En los servicios de Salud en el Trabajo se otorgó el servicio solicitado por los trabajadores respecto a la dictaminación de riesgos de trabajo, cumpliendo con las metas programadas de acuerdo a proyecciones realizadas con datos históricos y al crecimiento de la población asegurada en riesgos de trabajo. Efecto: Cumplimiento de la meta, con 3.25 puntos por arriba. Otros Motivos:</t>
    </r>
  </si>
  <si>
    <r>
      <t xml:space="preserve"> Porcentaje de Dictámenes de incapacidad permanente y defunción autorizados a través del Módulo Electrónico de Salud en el Trabajo
</t>
    </r>
    <r>
      <rPr>
        <sz val="10"/>
        <rFont val="Soberana Sans"/>
        <family val="2"/>
      </rPr>
      <t xml:space="preserve"> Causa : Se mantiene el uso del SIMF-SISAT, las Coordinaciones Delegacionales de Salud en el Trabajo implementan estrategias oportunas para facilitar el cumplimiento del indicador, utilizando la Mesa de Servicio de manera eficaz para resolver los casos que presentaron alguna problemática; solo en pocos casos, debido a fallas del sistema o en errores en los datos demograficos del trabajador que provienen de Acceder, se realizan de forma manual. Efecto: Registrar un cumplimiento sin variacion respecto a la meta, lo que permite que la persona asegurada acceda a las prestaciones de manera más oportuna. Otros Motivos:</t>
    </r>
  </si>
  <si>
    <r>
      <t xml:space="preserve">Porcentaje de Dictamenes de Invalidez  autorizados a través del Módulo Electrónico de Salud en el Trabajo
</t>
    </r>
    <r>
      <rPr>
        <sz val="10"/>
        <rFont val="Soberana Sans"/>
        <family val="2"/>
      </rPr>
      <t xml:space="preserve"> Causa : Se mantiene el uso del SIMF-SISAT, las Coordinaciones Delegacionales de Salud en el Trabajo implementan estrategias oportunas para facilitar el cumplimiento del indicador. Efecto: Registrar un cumplimiento sin variacion respecto a la meta, lo que permite que la persona asegurada acceda a las prestaciones de manera más oportuna. Otros Motivos:</t>
    </r>
  </si>
  <si>
    <r>
      <t xml:space="preserve">Porcentaje de cumplimiento en la capacitación de trabajadores en seguridad y salud en el trabajo
</t>
    </r>
    <r>
      <rPr>
        <sz val="10"/>
        <rFont val="Soberana Sans"/>
        <family val="2"/>
      </rPr>
      <t xml:space="preserve"> Causa : En este periodo la demanda de las empresas por el servicio de capacitación en Seguridad y Salud en el Trabajo se incrementó a lo planeado, otorgándose este servicio de acuerdo a la capacidad del personal con que cuenta la institución. Efecto: Registrar un cumplimiento del 7.51 por ciento superior a lo esperado en relación a lo planeado en el periodo. Otros Motivos:</t>
    </r>
  </si>
  <si>
    <r>
      <t xml:space="preserve">Porcentaje de cumplimiento en la elaboración de estudios y programas preventivos de seguridad en el trabajo
</t>
    </r>
    <r>
      <rPr>
        <sz val="10"/>
        <rFont val="Soberana Sans"/>
        <family val="2"/>
      </rPr>
      <t xml:space="preserve"> Causa : Las empresas han permitido y facilitado la intervención de los Especialistas en Seguridad en el Trabajo, para el desarrollo de los Estudios y Programas preventivos de seguridad e higiene en el trabajo. Efecto: Registrar un cumplimiento del 8.97 por ciento superior a lo esperado en relación a lo planeado en el periodo. Otros Motivos:</t>
    </r>
  </si>
  <si>
    <r>
      <t xml:space="preserve">Porcentaje de seguimientos realizados en empresas con programas preventivos de seguridad en el trabajo.
</t>
    </r>
    <r>
      <rPr>
        <sz val="10"/>
        <rFont val="Soberana Sans"/>
        <family val="2"/>
      </rPr>
      <t xml:space="preserve"> Causa : Las emperas facilitaron el desarrollo de seguimientos a los Estudios y Programas preventivos de seguridad e higiene en el trabajo por parte del personal del IMSS. Efecto: Registrar un cumplimiento del 3.60 por ciento superior a lo esperado en relación a lo planeado en el periodo. Otros Motivos:</t>
    </r>
  </si>
  <si>
    <r>
      <t xml:space="preserve">Porcentaje de Calificación de los probables riesgos de trabajo
</t>
    </r>
    <r>
      <rPr>
        <sz val="10"/>
        <rFont val="Soberana Sans"/>
        <family val="2"/>
      </rPr>
      <t xml:space="preserve"> Causa : A fin de continuar con el tramite de calificación; un factor que lo detiene es la falta de aviso al Instituto por parte del patrón a través del formato ST-7 o ST-9 el cual es otorgado al trabajador en los servicios de medicos donde se le informa que lo entregue a su empresa. Al no recibir el aviso del patrón, los servicios de Salud en el Trabajo envían otro tanto de dichos formatos, segun sea el caso, a la empresa a través de correo certificado; sin embargo, por cuestiones adminstrativas entre la empresa postal y las áreas delegacionales involucradas; no cuentan a tiempo con la contratación de este servicio, trayendo como consecuencia que estos avisos no se puedan enviar con oportunidad al patron, ambas situaciones no permiten continuar con el trámite de calificación del riesgo de trabajo. Efecto: 12.22 puntos por debajo de la meta. Otros Motivos:</t>
    </r>
  </si>
  <si>
    <t>E004</t>
  </si>
  <si>
    <t>Investigación y desarrollo tecnológico en salud</t>
  </si>
  <si>
    <t>Perspectiva de Género</t>
  </si>
  <si>
    <t>3 - Desarrollo Económico</t>
  </si>
  <si>
    <t>8 - Ciencia, Tecnología e Innovación</t>
  </si>
  <si>
    <t>1 - Investigación Científica</t>
  </si>
  <si>
    <t>24 - Investigación en salud pertinente y de excelencia académica</t>
  </si>
  <si>
    <t>Contribuir a impulsar la educación científica y tecnológica como elemento indispensable para la transformación de México en una sociedad del conocimiento mediante Consolidar la Investigación en Salud, en beneficio de la salud de los Derechohabientes del IMSS.</t>
  </si>
  <si>
    <r>
      <t>Gasto en Investigación Científica y Desarrollo Experimental (GIDE) ejecutado por la Instituciones de Educación Superior (IES) respecto al Producto Interno Bruto (PIB)</t>
    </r>
    <r>
      <rPr>
        <i/>
        <sz val="10"/>
        <color indexed="30"/>
        <rFont val="Soberana Sans"/>
      </rPr>
      <t xml:space="preserve">
Indicador Seleccionado</t>
    </r>
  </si>
  <si>
    <t>El indicador es una relación expresada como porcentaje.  Fórmula de cálculo:  IIIES=GIDEIES/PIB x100,     donde:  IIIES : Índice de inversión en investigación en instituciones de educación superior  GIDEIES: Gasto en investigación y desarrollo experimental ejecutado por las IES en el año de referencia.  PIB: Producto Interno Bruto en el año de referencia</t>
  </si>
  <si>
    <r>
      <t>Investigadores que pertenecen al Sistema Nacional de Investigadores</t>
    </r>
    <r>
      <rPr>
        <i/>
        <sz val="10"/>
        <color indexed="30"/>
        <rFont val="Soberana Sans"/>
      </rPr>
      <t xml:space="preserve">
</t>
    </r>
  </si>
  <si>
    <t>[(Número de Investigadores del Instituto Mexicano del Seguro Social que pertenecen al Sistema Nacional de Investigadores) / (Total de Investigadores del Instituto Mexicano del Seguro Social)] x 100      [(SIGMA)  Xi  / (SIGMA)   Yi ] * 100                                                                                                                                                                     Dónde:                                                                                                                                                                                                   X =  Investigadores del Instituto Mexicano del Seguro Social que pertenecen al Sistema Nacional de Investigadores   Y =  Investigadores del Instituto Mexicano del Seguro Social</t>
  </si>
  <si>
    <r>
      <t>Impacto de las Publicaciones Científicas generadas por el IMSS, en las áreas de conocimiento médico científico.</t>
    </r>
    <r>
      <rPr>
        <i/>
        <sz val="10"/>
        <color indexed="30"/>
        <rFont val="Soberana Sans"/>
      </rPr>
      <t xml:space="preserve">
</t>
    </r>
  </si>
  <si>
    <t>[(Artículos Científicos, generados por personal Institucional, que han sido publicados en revistas incorporadas al Journal Citation Report incluidas en los Cuartiles 1 y 2) / (Total de Artículos Científicos que han sido publicados en revistas incorporadas al Journal Citation Report)] x 100     [(SIGMA) Xi / (SIGMA) Yi ] * 100     Dónde:   X = Artículos Científicos, generados por personal Institucional, que han sido publicados en revistas incorporadas al Index Medicus ó Current Contents     Y = Artículos Científicos generados en el Instituto Mexicano del Seguro Social.</t>
  </si>
  <si>
    <r>
      <t>Porcentaje de Publicaciones Científicas con Factor de Impacto.</t>
    </r>
    <r>
      <rPr>
        <i/>
        <sz val="10"/>
        <color indexed="30"/>
        <rFont val="Soberana Sans"/>
      </rPr>
      <t xml:space="preserve">
</t>
    </r>
  </si>
  <si>
    <t>[(Sumatoria de Artículos Científicos generados por personal del IMSS y que han sido publicados en revistas incorporadas al Journal Citation Reports) / (Sumatoria de Artículos Científicos generados por personal del IMSS y que han sido publicados en revistas médico-científicas arbitradas)] x 100</t>
  </si>
  <si>
    <t>Los Derechohabientes del IMSS favorecen su estado de salud con la contribución de los productos científicos de calidad generados por la Investigación en Salud desarrollada en el Instituto.</t>
  </si>
  <si>
    <r>
      <t>Porcentaje de Publicaciones Científicas Indizadas</t>
    </r>
    <r>
      <rPr>
        <i/>
        <sz val="10"/>
        <color indexed="30"/>
        <rFont val="Soberana Sans"/>
      </rPr>
      <t xml:space="preserve">
</t>
    </r>
  </si>
  <si>
    <t>[(Artículos Científicos, generados por personal Institucional, que han sido publicados en revistas incorporadas al Index Medicus ó Current Contents) / (Total de Artículos Científicos generados en el Instituto Mexicano del Seguro Social)] x 100     [(SIGMA) Xi / (SIGMA) Yi ] * 100     Dónde:   X = Artículos Científicos, generados por personal Institucional, que han sido publicados en revistas incorporadas al Index Medicus ó Current Contents     Y = Artículos Científicos generados en el Instituto Mexicano del Seguro Social.</t>
  </si>
  <si>
    <t>A Recursos humanos formados en Maestrías y Doctorados.</t>
  </si>
  <si>
    <r>
      <t>Protocolos de Investigación Científica y Desarrollo Tecnológico relacionados a los Temas Prioritarios de Investigación en Salud</t>
    </r>
    <r>
      <rPr>
        <i/>
        <sz val="10"/>
        <color indexed="30"/>
        <rFont val="Soberana Sans"/>
      </rPr>
      <t xml:space="preserve">
</t>
    </r>
  </si>
  <si>
    <t>[(Protocolos de Investigación Científica y Desarrollo Tecnológico relacionados a los Temas Prioritarios de Investigación en Salud) / (Total de Protocolos de Investigación Científica y Desarrollo Tecnológico Autorizados (Registrados) en el Instituto Mexicano del Seguro Social)] x 100     [(SIGMA) Xi / (SIGMA) Yi ] * 100     Dónde:   X = Protocolos de Investigación Científica y Desarrollo Tecnológico relacionados a los Temas Prioritarios de Investigación en Salud     Y = Protocolos de Investigación Científica y Desarrollo Tecnológico Autorizados (Registrados) en el Instituto Mexicano del Seguro Social.</t>
  </si>
  <si>
    <r>
      <t>Culminación en cursos de maestría y doctorado</t>
    </r>
    <r>
      <rPr>
        <i/>
        <sz val="10"/>
        <color indexed="30"/>
        <rFont val="Soberana Sans"/>
      </rPr>
      <t xml:space="preserve">
</t>
    </r>
  </si>
  <si>
    <t>([(Sumatoria de alumnos IMSS que culminan cursos de maestría y doctorado en el periodo t) / (Sumatoria de alumnos IMSS que culminan cursos de maestría y doctorado en el periodo t-k)] - (1)) x 100</t>
  </si>
  <si>
    <t>Tasa de variación</t>
  </si>
  <si>
    <t>B Protocolos de Investigación Científica y Desarrollo Tecnológico Autorizados (Registrados).</t>
  </si>
  <si>
    <r>
      <t>Protocolos de Investigación Científica y Desarrollo Tecnológico Autorizados.</t>
    </r>
    <r>
      <rPr>
        <i/>
        <sz val="10"/>
        <color indexed="30"/>
        <rFont val="Soberana Sans"/>
      </rPr>
      <t xml:space="preserve">
</t>
    </r>
  </si>
  <si>
    <t>[[(Sumatoria de Protocolos de Investigación Científica y Desarrollo Tecnológico Autorizados en el IMSS  durante el periodo t) / (Sumatoria de Protocolos de Investigación Científica y Desarrollo Tecnológico Autorizados en el IMSS  durante el periodo t-k)] - (1)] x 100</t>
  </si>
  <si>
    <t>B 1 Dictamen de Protocolos de Investigación Científica y Desarrollo Tecnológico</t>
  </si>
  <si>
    <r>
      <t>Comités Locales de Investigación en Salud activos.</t>
    </r>
    <r>
      <rPr>
        <i/>
        <sz val="10"/>
        <color indexed="30"/>
        <rFont val="Soberana Sans"/>
      </rPr>
      <t xml:space="preserve">
</t>
    </r>
  </si>
  <si>
    <t xml:space="preserve">[(Número de Comités Locales de Investigación en Salud activos en el Instituto Mexicano del Seguro Social) / (Total de Comités Locales de Investigación yen Salud del Instituto Mexicano del Seguro Social)] x 100     </t>
  </si>
  <si>
    <r>
      <t>Protocolos de Investigación Científica y Desarrollo Tecnológico Dictaminados.</t>
    </r>
    <r>
      <rPr>
        <i/>
        <sz val="10"/>
        <color indexed="30"/>
        <rFont val="Soberana Sans"/>
      </rPr>
      <t xml:space="preserve">
</t>
    </r>
  </si>
  <si>
    <t>[[(Sumatoria de Protocolos de Investigación Científica y Desarrollo Tecnológico Dictaminados en el IMSS  durante el periodo t) / (Sumatoria de Protocolos de Investigación Científica y Desarrollo Tecnológico Dictaminados en el IMSS  durante el periodo t-k)] - (1)] x 100</t>
  </si>
  <si>
    <r>
      <t xml:space="preserve">Gasto en Investigación Científica y Desarrollo Experimental (GIDE) ejecutado por la Instituciones de Educación Superior (IES) respecto al Producto Interno Bruto (PIB)
</t>
    </r>
    <r>
      <rPr>
        <sz val="10"/>
        <rFont val="Soberana Sans"/>
        <family val="2"/>
      </rPr>
      <t>Sin Información,Sin Justificación</t>
    </r>
  </si>
  <si>
    <r>
      <t xml:space="preserve">Investigadores que pertenecen al Sistema Nacional de Investigadores
</t>
    </r>
    <r>
      <rPr>
        <sz val="10"/>
        <rFont val="Soberana Sans"/>
        <family val="2"/>
      </rPr>
      <t xml:space="preserve"> Causa : La causa fue debido a que el Instituto promovió la participación de su personal para pertenecer - mantener su nombramiento en el Sistema Nacional de Investigadores. Efecto: El efecto fue que el personal IMSS solicitó ingreso - reingreso al Sistema Nacional de Investigadores y su evaluación fue favorable, logrando el cumplimiento de la meta propuesta para el periodo de reporte.  Se destaca, que el IMSS obtuvo la permanencia en el S.N.I. de 361 de sus Investigadores; por tercer año consecutivo es la cifra anual más alta en la historia del Instituto; con ello, se  registran incrementos de 12.5% (40)  y  10.1% (33), respecto a lo registrado en los ejercicios 2016 y 2017, respectivamente. Otros Motivos:Debe considerarse que la solicitud de ingreso es individual y la evaluación de cada propuesta la efectúa una entidad externa al Instituto Mexicano del Seguro Social.</t>
    </r>
  </si>
  <si>
    <r>
      <t xml:space="preserve">Impacto de las Publicaciones Científicas generadas por el IMSS, en las áreas de conocimiento médico científico.
</t>
    </r>
    <r>
      <rPr>
        <sz val="10"/>
        <rFont val="Soberana Sans"/>
        <family val="2"/>
      </rPr>
      <t xml:space="preserve"> Causa : La causa fue debido a que durante el periodo de reporte, el IMSS ha consolidado el Programa Estratégico para Fortalecer la Investigación Científica Institucional, cuyo objetivo es incrementar el número de artículos publicados por personal de la salud adscrito a las Unidades Médicas o Unidad de Investigación del IMSS; derivado de lo anterior, el Instituto favoreció que su personal de salud  desarrolle actividades de investigación en salud de relevancia y con los más altos estándares de calidad internacional.  Destaca el siguiente hecho, publicar en Revistas ubicadas en Cuartiles Q1 y Q2,  requiere de mayor rigurosidad para la aceptación de los Resultados de Investigación que serán publicados en éste tipo de Revistas de vanguardia Internacional, altamente valoradas por sus aportaciones en cada Área de Conocimiento Médico Científico; mismas, que permiten la actualización de los Procesos de Atención Médica que contribuyen a mejorar la calidad de los Servicios de Prestaciones Médicas que el Instituto oferta a sus Derechohabientes.  En éste sentido, el IMSS continúa siendo  pionero entre las Instituciones de Salud Mexicanas, al adoptar éste innovador sistema de evaluación. Efecto: El efecto de la evaluación, al valorar el cuartil de las Revistas con Factor de Impacto en que se publican resultados de Investigación del IMSS, ha motivado al Personal Institucional para publicar artículos científicos en Revistas con alto impacto Internacional y de vanguardia para cada Área de Conocimiento Médico Científico; logrando el cumplimiento de la meta propuesta para el periodo de reporte.  Se destaca,  el incremento en el número absoluto de artículos científicos publicados en Revistas con factor de impacto incluidas en los Cuartiles 1 y 2; registrando una variación positiva de 9.3% (27), respecto con lo reportado en el ejercicio 2017.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t>
    </r>
  </si>
  <si>
    <r>
      <t xml:space="preserve">Porcentaje de Publicaciones Científicas con Factor de Impacto.
</t>
    </r>
    <r>
      <rPr>
        <sz val="10"/>
        <rFont val="Soberana Sans"/>
        <family val="2"/>
      </rPr>
      <t xml:space="preserve"> Causa : La causa fue debido a que durante el ejercicio 2018, el IMSS ha consolidado el Programa Estratégico para Fortalecer la Investigación Científica Institucional, cuyo objetivo es incrementar el número de artículos publicados por personal de la salud adscrito a las Unidades Médicas o Unidad de Investigación del IMSS; derivado de lo anterior, el Instituto favoreció que su personal de salud  desarrolle actividades de investigación en salud de relevancia y con los más altos estándares de calidad internacional. Efecto: El efecto fue una mayor aceptación de los resultados de investigación científica generados por Personal Institucional, para ser publicados por las Revistas con Factor de Impacto incluidas en el Journal Citation Report de Clarivate Analytics; se destaca,  el notable incremento en el número absoluto de publicaciones con factor de impacto, registrando variaciones positivas de 40.5% (185)  y 11.3% (65), comparado con lo reportado en los ejercicios 2016 y 2017, respectivamente.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 </t>
    </r>
  </si>
  <si>
    <r>
      <t xml:space="preserve">Porcentaje de Publicaciones Científicas Indizadas
</t>
    </r>
    <r>
      <rPr>
        <sz val="10"/>
        <rFont val="Soberana Sans"/>
        <family val="2"/>
      </rPr>
      <t xml:space="preserve"> Causa : La causa fue debido a que durante el ejercicio 2018, el IMSS ha consolidado el Programa Estratégico para Fortalecer la Investigación Científica Institucional, cuyo objetivo es incrementar el número de artículos publicados por personal de la salud adscrito a las Unidades Médicas o Unidad de Investigación del IMSS; derivado de lo anterior, el Instituto favoreció que su personal de salud  desarrolle actividades de investigación en salud de relevancia y con los más altos estándares de calidad internacional.  Siendo así, el personal del IMSS se encuentra motivado para competir internacionalmente con la publicación de sus resultados de investigación en las Revistas Internacionales de vanguardia. Efecto: El efecto fue la aceptación de los resultados de investigación científica generados por Personal Institucional para ser publicados por las Revistas Indizadas; logrando el cumplimiento de la meta propuesta para el periodo de reporte.  Destaca que el número absoluto de publicaciones científicas indizadas que fueron generadas por el IMSS , registra incrementos de 14.2% (99)  y  7.9% (58), respecto a lo registrado en los ejercicios 2016 y 2017, respectivamente.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t>
    </r>
  </si>
  <si>
    <r>
      <t xml:space="preserve">Protocolos de Investigación Científica y Desarrollo Tecnológico relacionados a los Temas Prioritarios de Investigación en Salud
</t>
    </r>
    <r>
      <rPr>
        <sz val="10"/>
        <rFont val="Soberana Sans"/>
        <family val="2"/>
      </rPr>
      <t xml:space="preserve"> Causa : La causa fue debido a que el Instituto continúa la promoción del desarrollo de las actividades de investigación en salud que cumplen con estándares internacionales para su autorización y que se apegan a las principales causas de morbi-mortalidad que aquejan a los Derechohabientes del IMSS. Efecto: El efecto fue el Registro de Protocolos de Investigación Científica y Desarrollo Tecnológico, propuestos por personal institucional, que cumplen con los estándares internacionales para su autorización  y que se apegan a las principales causas de morbi-mortalidad que aquejan a los Derechohabientes del IMSS;  logrando el 98.7% del cumplimiento de la meta propuesta para el periodo de reporte.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El impulso institucional se ha conjuntado con el interés del personal para  desarrollar  actividades de investigación en salud.</t>
    </r>
  </si>
  <si>
    <r>
      <t xml:space="preserve">Culminación en cursos de maestría y doctorado
</t>
    </r>
    <r>
      <rPr>
        <sz val="10"/>
        <rFont val="Soberana Sans"/>
        <family val="2"/>
      </rPr>
      <t xml:space="preserve"> Causa : La causa fue debido a que el Instituto reforzó el apoyó para la formación de alumnos en maestría y doctorado; lo anterior,  debido a que entre el Personal Institucional, se registró una disminución en el número de alumnos inscritos en Maestría y Doctorado durante el periodo 2013 a 2017, existiendo un decremento de hasta 26.97% en el número de alumnos vigentes. Efecto: El efecto fue que 115 alumnos del Instituto culminaron sus cursos de maestría y doctorado en 2018; logrando superar la proyección de culminación para dicho año de 111 alumnos de maestría y doctorado.  Se destaca, el incremento en el número absoluto de personal IMSS que culmina cursos de maestría y doctorado, registrando una variación positiva de 4.5% (5), comparado con lo reportado en el ejercicio 2017. No se omite comentar que 110 es el número real de alumnos que culminaron sus cursos en el ejercicio 2017 y que los 111 que se registraron en el denominador de la meta sólo es una estimación para ese año. Otros Motivos:Debe considerarse que la culminación de cursos de maestría y doctorado es un proceso multifactorial que incluye elementos externos, entre ellos las Entidades académicas y circunstancias individuales.  No se realizó el ajuste del denominador de la meta durante el año 2018, pero la cifra real utilizada en el denominador (110) para calcular el avance del indicador es correcto.</t>
    </r>
  </si>
  <si>
    <r>
      <t xml:space="preserve">Protocolos de Investigación Científica y Desarrollo Tecnológico Autorizados.
</t>
    </r>
    <r>
      <rPr>
        <sz val="10"/>
        <rFont val="Soberana Sans"/>
        <family val="2"/>
      </rPr>
      <t xml:space="preserve"> Causa : La causa fue debido a que el Instituto continúa favoreciendo que los Comités Locales de Investigación en Salud (CLIS)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En éste sentido, durante el 2018 se ha consolidado la integración y funcionamiento de los Comités de Ética en Investigación (CEI) en apego a lineamientos establecidos por la Comisión Nacional de Bioética (CONBIOETICA); siendo así, éstos Comités   se suman en la evaluación de los Protocolos de Investigación en Salud que son sometidos por Personal del IMSS, emitiendo dictámenes como i) Autorizado, ii) Modificar y Volver a Presentar,  y como iii) No Autorizado. Efecto: El efecto fue el adecuado registro de Protocolos de Investigación Científica y Desarrollo Tecnológico, propuestos por personal institucional, que cumplen rigurosamente con los estándares internacionales para su autorización; logrando el cumplimiento de la meta propuesta para el periodo de reporte.  Destaca el hecho, se ha incrementado la calidad de los Protocolos de Investigación Científica y Desarrollo Tecnológico autorizados para su desarrollo en el IMSS, ante la evaluación conjunta de los mismos ante CLIS y CEI. Durante el ejercicio 2018, el IMSS registró 4580 Protocolos de Investigación Científica y Desarrollo Tecnológico,  es decir, 27 (0.59%) más respecto a lo finalmente registrado en el año previo (4553).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Debe considerarse que el proceso de integración de los Comités Locales de Investigación en Salud (CLIS) deben apegarse a las disposiciones de la  Ley  General de Salud y su Reglamento en materia de Investigación en Salud, que implica la intervención de factores externos a la Institución (COFEPRIS y CONBIOETICA) que pueden condicionar fluctuaciones en la autorización de los Protocolos de Investigación Científica y Desarrollo Tecnológico.</t>
    </r>
  </si>
  <si>
    <r>
      <t xml:space="preserve">Comités Locales de Investigación en Salud activos.
</t>
    </r>
    <r>
      <rPr>
        <sz val="10"/>
        <rFont val="Soberana Sans"/>
        <family val="2"/>
      </rPr>
      <t xml:space="preserve"> Causa : La causa fue debido a que el Instituto continúa favoreciendo que los Comités Locales de Investigación en Salud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Efecto: El efecto fue que los Comités Locales de Investigación en Salud (CLIS) del IMSS se encuentran en proceso de renovación de la vigencia de sus registros ante la Comisión Federal para la Protección contra Riesgos Sanitarios (COFEPRIS).  No obstante, se destaca, durante el ejercicio 2017 el IMSS obtuvo 76 CLIS vigentes de un total de 96 CLIS potenciales; en tanto, para el ejercicio 2018 el IMSS obtuvo 80 CLIS vigentes de 95 CLIS potenciales;  ésto representa un incremento en el número absoluto de CLIS vigente, registrando una variación positiva de 5.3% (4).   Con ello, el IMSS dió cumplimiento al crecimiento planteado para éste indicador. Otros Motivos:Por tal razón, debe considerarse que el proceso de integración de los Comités Locales de Investigación en Salud deben apegarse a las disposiciones de la  Ley  General de Salud y su Reglamento en materia de Investigación en Salud, que implica la intervención de factores externos a la Institución (COFEPRIS) que pueden condicionar fluctuaciones en los resultados de acuerdo a su aceptación.</t>
    </r>
  </si>
  <si>
    <r>
      <t xml:space="preserve">Protocolos de Investigación Científica y Desarrollo Tecnológico Dictaminados.
</t>
    </r>
    <r>
      <rPr>
        <sz val="10"/>
        <rFont val="Soberana Sans"/>
        <family val="2"/>
      </rPr>
      <t xml:space="preserve"> Causa : La causa fue debido a que el Instituto continúa favoreciendo que los Comités Locales de Investigación y Ética en Investigación cumplan con los requerimientos de la Ley  General de Salud y su Reglamento en materia de Investigación en Salud, a fin de evaluar las propuestas de Investigación Científica y  Desarrollo Tecnológico  y garantizar que cumplan con estándares  nacionales e internacionales para su evaluación y dictamen. Efecto: El efecto fue el dictamen de Protocolos de Investigación Científica y Desarrollo Tecnológico que fueron elaborados por personal institucional para ser sometidos a  evaluación y dictamen;  logrando el cumplimiento de la meta propuesta para el periodo de reporte.  Se destaca, el incremento en el número absoluto de  Protocolos Dictaminados de Investigación Científica y Desarrollo Tecnológico en el ejercicio 2018, el IMSS dictaminó 6258 Protocolos de Investigación Científica y Desarrollo Tecnológico,  es decir, 747 (13.55%) más respecto a lo finalmente registrado en el año previo (5511). Otros Motivos:Por tal razón, debe considerarse que la elaboración de protocolos de investigación científica por el personal de salud requiere tanto de un medio laboral  favorable para desarrollar actividades de investigación en salud como de interés y motivación individuales.   El impulso institucional se ha conjuntado con el interés del personal para  desarrollar  actividades de investigación en salud.</t>
    </r>
  </si>
  <si>
    <t>E006</t>
  </si>
  <si>
    <t>Recaudación de ingresos obrero patronales</t>
  </si>
  <si>
    <t>3 - Generación de Recursos para la Salud</t>
  </si>
  <si>
    <t>5 - Servicios de incorporación y recaudación</t>
  </si>
  <si>
    <t>Contribuir a avanzar en la construcción de un Sistema Nacional de Salud Universal bajo la rectoría de la Secretaría de Salud mediante la recaudación eficiente de las cuotas obrero-patronales, con una mayor incorporación y una mejor fiscalización y cobranza.</t>
  </si>
  <si>
    <r>
      <t>Porcentaje de población con aseguramiento público en salud que usa servicios públicos de atención médica</t>
    </r>
    <r>
      <rPr>
        <i/>
        <sz val="10"/>
        <color indexed="30"/>
        <rFont val="Soberana Sans"/>
      </rPr>
      <t xml:space="preserve">
Indicador Seleccionado</t>
    </r>
  </si>
  <si>
    <t>Resulta de restar al cien por ciento de la población la suma del porcentaje de población sin aseguramiento público y el porcentaje de población que teniendo aseguramiento público de salud utiliza servicios privados de atención médica</t>
  </si>
  <si>
    <r>
      <t>Tasa de variación bianual en el número de población derechohabiente adscrita a unidad de medicina familiar.</t>
    </r>
    <r>
      <rPr>
        <i/>
        <sz val="10"/>
        <color indexed="30"/>
        <rFont val="Soberana Sans"/>
      </rPr>
      <t xml:space="preserve">
</t>
    </r>
  </si>
  <si>
    <t>((Número de población derechohabiente adscrita a unidad de medicina familiar al semestre t) / (Número de población derechohabiente adscrita unidad de medicina familiar al semestre t-4)-1) x 100</t>
  </si>
  <si>
    <t>Las cuotas obrero-patronales son recaudadas eficientemente con una mayor incorporación y una mejor fiscalización y cobranza.</t>
  </si>
  <si>
    <r>
      <t>Tasa de variación bianual en la recaudación por ingresos obrero-patronales.</t>
    </r>
    <r>
      <rPr>
        <i/>
        <sz val="10"/>
        <color indexed="30"/>
        <rFont val="Soberana Sans"/>
      </rPr>
      <t xml:space="preserve">
</t>
    </r>
  </si>
  <si>
    <t>((Importe nominal acumulado de los ingresos obrero-patronales al semestre t) / (Importe nominal acumulado de los ingresos obrero-patronales al semestre t-4)-1) X 100</t>
  </si>
  <si>
    <t>A Cobranza y Fiscalización de cuotas obrero-patronales optimizadas.</t>
  </si>
  <si>
    <r>
      <t>Razón de la mora en días de emisión</t>
    </r>
    <r>
      <rPr>
        <i/>
        <sz val="10"/>
        <color indexed="30"/>
        <rFont val="Soberana Sans"/>
      </rPr>
      <t xml:space="preserve">
</t>
    </r>
  </si>
  <si>
    <t>((Saldo de la cartera en mora al semestre t )/(Importe promedio diario de la Emisión Mensual Anticipada incluyendo al IMSS como patrón, al semestre t))</t>
  </si>
  <si>
    <t>Días</t>
  </si>
  <si>
    <r>
      <t>Porcentaje de las cuotas obrero-patronales pagadas oportunamente.</t>
    </r>
    <r>
      <rPr>
        <i/>
        <sz val="10"/>
        <color indexed="30"/>
        <rFont val="Soberana Sans"/>
      </rPr>
      <t xml:space="preserve">
</t>
    </r>
  </si>
  <si>
    <t>((Importe acumulado de la Emisión Mensual Anticipada de las modalidades 10, 13 y 17 pagado oportunamente al semestre t)/(Importe de la Emisión Total Ajustada de las modalidades 10, 13 y 17 al semestre t)) x 100</t>
  </si>
  <si>
    <t>Estratégico-Economía-Semestral</t>
  </si>
  <si>
    <t>B Incorporación de asegurados trabajadores optimizada.</t>
  </si>
  <si>
    <r>
      <t>Tasa de variación bianual en el salario base asociado a asegurados trabajadores.</t>
    </r>
    <r>
      <rPr>
        <i/>
        <sz val="10"/>
        <color indexed="30"/>
        <rFont val="Soberana Sans"/>
      </rPr>
      <t xml:space="preserve">
</t>
    </r>
  </si>
  <si>
    <t>((Salario base de cotización asociado a asegurados trabajadores registrado en promedio al semestre t) / (Salario base de cotización asociado a asegurados trabajadores registrado en promedio al semestre t-4)-1) x 100</t>
  </si>
  <si>
    <r>
      <t>Tasa de variación bianual en el número de asegurados trabajadores.</t>
    </r>
    <r>
      <rPr>
        <i/>
        <sz val="10"/>
        <color indexed="30"/>
        <rFont val="Soberana Sans"/>
      </rPr>
      <t xml:space="preserve">
</t>
    </r>
  </si>
  <si>
    <t>((Número de asegurados trabajadores promedio al semestre t) / (Número de asegurados trabajadores promedio al semestre t-4)-1) x 100</t>
  </si>
  <si>
    <t>B 1 Compartida 1: Digitalización de los trámites de incorporación al IMSS.</t>
  </si>
  <si>
    <r>
      <t>Porcentaje de transacciones de asignación o localización de NSS realizadas en línea (IMSS Digital).</t>
    </r>
    <r>
      <rPr>
        <i/>
        <sz val="10"/>
        <color indexed="30"/>
        <rFont val="Soberana Sans"/>
      </rPr>
      <t xml:space="preserve">
</t>
    </r>
  </si>
  <si>
    <t>((Número de transacciones de asignación o localización de Número de Seguridad Social (NSS) realizadas en línea (IMSS Digital) al semestre t)/(Número de transacciones de asignación o localización de Número de Seguridad Social (NSS) totales al semestre t))x100</t>
  </si>
  <si>
    <t>Gestión-Eficacia-Semestral</t>
  </si>
  <si>
    <t>B 2 Compartida 2: Implementación del nuevo modelo integral de fiscalización.</t>
  </si>
  <si>
    <r>
      <t>Porcentaje de efectividad en actos de fiscalización.</t>
    </r>
    <r>
      <rPr>
        <i/>
        <sz val="10"/>
        <color indexed="30"/>
        <rFont val="Soberana Sans"/>
      </rPr>
      <t xml:space="preserve">
</t>
    </r>
  </si>
  <si>
    <t>((Número de actos de fiscalización concluidos  con observaciones al semestre t ) / (Total de actos de fiscalización concluidos al semestre t))x 100</t>
  </si>
  <si>
    <r>
      <t xml:space="preserve">Porcentaje de población con aseguramiento público en salud que usa servicios públicos de atención médica
</t>
    </r>
    <r>
      <rPr>
        <sz val="10"/>
        <rFont val="Soberana Sans"/>
        <family val="2"/>
      </rPr>
      <t>Sin Información,Sin Justificación</t>
    </r>
  </si>
  <si>
    <r>
      <t xml:space="preserve">Tasa de variación bianual en el número de población derechohabiente adscrita a unidad de medicina familiar.
</t>
    </r>
    <r>
      <rPr>
        <sz val="10"/>
        <rFont val="Soberana Sans"/>
        <family val="2"/>
      </rPr>
      <t xml:space="preserve"> Causa : Con información al mes de noviembre de 2018, la tasa de variación bianual de la población derechohabiente adscrita, respecto al periodo enero-diciembre de 2016, fue de 5.41%.  Efecto: Mayor cobertura de seguridad social. Otros Motivos:Se reporta información del periodo enero-noviembre de 2018, debido a que como se específica en la ficha técnica correspondiente, esta información se genera 20 días naturales después del cierre del semestre. La información al mes de diciembre estará disponible para el reporte de Cuenta Pública.</t>
    </r>
  </si>
  <si>
    <r>
      <t xml:space="preserve">Tasa de variación bianual en la recaudación por ingresos obrero-patronales.
</t>
    </r>
    <r>
      <rPr>
        <sz val="10"/>
        <rFont val="Soberana Sans"/>
        <family val="2"/>
      </rPr>
      <t xml:space="preserve"> Causa : Con información preliminar al mes de diciembre de 2018, la tasa de variación bianual  en la recaudación por ingresos obrero-patronales, respecto al periodo enero-diciembre de 2016, fue de 19.61%.     Las dos estrategias del IMSS, IMSS Digital y una mejor fiscalización, tienen un efecto positivo en la formalización del empleo y en mejores salarios, lo que a su vez incrementa el ingreso obrero-patronal. Efecto: Mayor recaudación.        Otros Motivos:Se reporta información preliminar del periodo enero-diciembre de 2018, debido a que como se específica en la ficha técnica correspondiente, la cifra del mes de diciembre estará disponible el 17 de enero de 2019.</t>
    </r>
  </si>
  <si>
    <r>
      <t xml:space="preserve">Razón de la mora en días de emisión
</t>
    </r>
    <r>
      <rPr>
        <sz val="10"/>
        <rFont val="Soberana Sans"/>
        <family val="2"/>
      </rPr>
      <t xml:space="preserve"> Causa : Con información al mes de diciembre de 2018, la razón de la mora en días de emisión fue de 30.60 días.       Las acciones en materia de cobranza permitieron mantener la proporción de la mora dentro de los límites esperados, con lo cual se cumplió la meta aprobada del periodo en 98.01%. Efecto: Menor cartera en mora.      En el marco del Nuevo Modelo de Fiscalización, durante la presente Administración inició la segmentación de la cartera de créditos fiscales considerando, entre otros criterios, el tipo de patrón deudor, y monto, tipo y antigüedad de los adeudos, lo que ha tenido un impacto positivo en la recuperación de créditos Otros Motivos:Se reporta información preliminar del periodo enero-diciembre.</t>
    </r>
  </si>
  <si>
    <r>
      <t xml:space="preserve">Porcentaje de las cuotas obrero-patronales pagadas oportunamente.
</t>
    </r>
    <r>
      <rPr>
        <sz val="10"/>
        <rFont val="Soberana Sans"/>
        <family val="2"/>
      </rPr>
      <t xml:space="preserve"> Causa : Con información al mes de octubre de 2018, el porcentaje de las cuotas obrero-patronales pagadas oportunamente fue de 93.79%.     Las acciones llevadas en cabo en materia de cobranza y fiscalización se traducen en la reducción de los tiempos y costos que los patrones y ciudadanos invierten en realizar trámites relacionados con el pago de cuotas.  Efecto: Recaudación oportuna.     Las acciones llevadas en cabo en materia de cobranza y fiscalización continúan centrándose en el desarrollo de un nuevo modelo de atención institucional, que incorpora la creación de una unidad de grandes patrones, la ejecución de un nuevo modelo integral de fiscalización, y la simplificación y digitalización de trámites relativos al pago de contribuciones. Aunque resulta complejo cuantificar el impacto de estas acciones (en materia de cobranza y fiscalización) en la recaudación del IMSS, sin duda la reducción de los tiempos y costos que los patrones y ciudadanos invierten en realizar trámites relacionados con su afiliación y pago de cuotas tienen un efecto positivo en la oportunidad con la que los patrones pagan sus cuotas. Otros Motivos:Se reporta información del periodo enero-octubre.     De acuerdo a lo especificado en la ficha técnica correspondiente, esta información se genera dos meses después de la Emisión Mensual Anticipada, por lo que la información al  mes de diciembre estará disponible hasta el mes de marzo.   </t>
    </r>
  </si>
  <si>
    <r>
      <t xml:space="preserve">Tasa de variación bianual en el salario base asociado a asegurados trabajadores.
</t>
    </r>
    <r>
      <rPr>
        <sz val="10"/>
        <rFont val="Soberana Sans"/>
        <family val="2"/>
      </rPr>
      <t xml:space="preserve"> Causa : Con información al mes de noviembre de 2018, la tasa de variación bianual en el salario base asociado a asegurados trabajadores,  respecto al periodo enero-diciembre de 2016, fue de 10.72%.      Las dos estrategias del IMSS, IMSS Digital y una mejor fiscalización, tienen un efecto positivo en la formalización del empleo y en el correcto registro del salario de trabajadores. Efecto: Mejores salarios para el empleo formal. Otros Motivos:Se reporta información del periodo enero-noviembre de 2018, debido a que como se específica en la ficha técnica correspondiente, la cifra del mes de diciembre estará disponible el 17 de enero de 2019.</t>
    </r>
  </si>
  <si>
    <r>
      <t xml:space="preserve">Tasa de variación bianual en el número de asegurados trabajadores.
</t>
    </r>
    <r>
      <rPr>
        <sz val="10"/>
        <rFont val="Soberana Sans"/>
        <family val="2"/>
      </rPr>
      <t xml:space="preserve"> Causa : Con información al mes de noviembre de 2018, la tasa de variación bianual en el número de asegurados trabajadores, respecto al periodo enero-diciembre de 2016, fue de 8.55%.     Las dos estrategias del IMSS, IMSS Digital y una mejor fiscalización, tienen un efecto positivo en la formalización del empleo. Efecto: Más empleo formal. Por sexto año consecutivo, la afiliación al IMSS presenta un comportamiento muy favorable, con una creación de empleo por encima del crecimiento económico.      En México, tradicionalmente la relación entre la creación de empleos en el IMSS y el crecimiento económico medido con base en el Producto Interno Bruto (PIB), era uno a uno (elasticidad empleo-producto). Sin embargo, a partir del año 2013 esta brecha empleo-producto se amplió significativamente, con una afiliación al IMSS creciendo al doble que la economía, lo que es evidencia de un proceso de formalización del empleo sin precedente. Otros Motivos:Se reporta información del periodo enero-noviembre de 2018, debido a que como se específica en la ficha técnica correspondiente, la cifra del mes de diciembre estará disponible el 17  de enero de 2019.</t>
    </r>
  </si>
  <si>
    <r>
      <t xml:space="preserve">Porcentaje de transacciones de asignación o localización de NSS realizadas en línea (IMSS Digital).
</t>
    </r>
    <r>
      <rPr>
        <sz val="10"/>
        <rFont val="Soberana Sans"/>
        <family val="2"/>
      </rPr>
      <t xml:space="preserve"> Causa : Con información al mes de diciembre de 2018, la proporción de transacciones de asignación o localización de NSS realizadas en línea (IMSS Digital) fue de 89.59%.       Entre las acciones del IMSS para mejorar la calidad y calidez de los servicios y al mismo tiempo sanear financieramente a la institución, está la simplificación y digitalización de trámites que ha sido implementada de manera exitosa desde el inicio de esta administración.  Efecto: Disminuir los tiempos y costos que los patrones y ciudadanos invierten en realizar trámites relacionados con su afiliación. Otros Motivos:Se reporta información preliminar del periodo enero-diciembre.  </t>
    </r>
  </si>
  <si>
    <r>
      <t xml:space="preserve">Porcentaje de efectividad en actos de fiscalización.
</t>
    </r>
    <r>
      <rPr>
        <sz val="10"/>
        <rFont val="Soberana Sans"/>
        <family val="2"/>
      </rPr>
      <t xml:space="preserve"> Causa : Con información preliminar al mes de diciembre de 2018, el porcentaje de efectividad en actos de fiscalización fue de 91.31%.     La implementación y consolidación de un modelo integral de atención institucional, a través de la creación de la unidad de grandes patrones  y la ejecución de un nuevo modelo de fiscalización, constituye la estrategia del IMSS dirigida a fortalecer el cumplimiento voluntario de las obligaciones de seguridad social.  Efecto: Con el objetivo de mejorar la programación y planeación de los actos de auditoría y cobro, se desarrollaron nuevos modelos de riesgos que permiten identificar los riesgos de evasión atendiendo a los tipos y tamaño de patrones, su ubicación geográfica, sector, industria, tipo de empleados o composición salarial, entre otros elementos. Otros Motivos:Se reporta información preliminar del periodo enero-diciembre.</t>
    </r>
  </si>
  <si>
    <t>E007</t>
  </si>
  <si>
    <t>Servicios de guardería</t>
  </si>
  <si>
    <t>6 - Protección Social</t>
  </si>
  <si>
    <t>3 - Familia e Hijos</t>
  </si>
  <si>
    <t>9 - Oportunidad en la prestación del servicio de guardería</t>
  </si>
  <si>
    <t>Contribuir a promover el acceso de las mujeres al trabajo remunerado, empleo decente y recursos productivos, en un marco de igualdad mediante el otorgamiento del servicio de guardería conforme al artículo 201 de la Ley del Seguro Social a través de la atención integral de las (los) niñas (os).</t>
  </si>
  <si>
    <r>
      <t>Porcentaje de permanencia de la población beneficiada</t>
    </r>
    <r>
      <rPr>
        <i/>
        <sz val="10"/>
        <color indexed="30"/>
        <rFont val="Soberana Sans"/>
      </rPr>
      <t xml:space="preserve">
</t>
    </r>
  </si>
  <si>
    <t>(Beneficiarios usuarios con niños (as) inscritos (as) en el período que permanecen al menos seis meses durante el período / Beneficiarios usuarios registrados durante el período) * 100</t>
  </si>
  <si>
    <r>
      <t>Tasa de participación femenina en el mercado de trabajo</t>
    </r>
    <r>
      <rPr>
        <i/>
        <sz val="10"/>
        <color indexed="30"/>
        <rFont val="Soberana Sans"/>
      </rPr>
      <t xml:space="preserve">
Indicador Seleccionado</t>
    </r>
  </si>
  <si>
    <t>T = ( PEAf / Pobft14+ ) * 100  PEAf: Población económicamente activa femenina de 14 años y más  Pobft14+: Población femenina total de 14 años y más</t>
  </si>
  <si>
    <t>Otorgar el servicio de guardería a un mayor número de trabajadores que se encuentren en el supuesto del artículo 201 de la Ley del Seguro Social y que dispongan de un lugar para su hijo (a) durante las horas de su jornada laboral de acuerdo con el artículo 205 de la Ley del Seguro Social</t>
  </si>
  <si>
    <r>
      <t>Tasa de variación de los lugares para el otorgamiento del servicio de guardería</t>
    </r>
    <r>
      <rPr>
        <i/>
        <sz val="10"/>
        <color indexed="30"/>
        <rFont val="Soberana Sans"/>
      </rPr>
      <t xml:space="preserve">
</t>
    </r>
  </si>
  <si>
    <t>((Número de lugares instalados en las guarderías al final del periodo/ Número de lugares instalados en las guarderías al inicio del periodo)-1)*100</t>
  </si>
  <si>
    <t>Estratégico-Eficiencia-Anual</t>
  </si>
  <si>
    <r>
      <t>Horas promedio de estadía de los (as) niños (as) en guarderías</t>
    </r>
    <r>
      <rPr>
        <i/>
        <sz val="10"/>
        <color indexed="30"/>
        <rFont val="Soberana Sans"/>
      </rPr>
      <t xml:space="preserve">
</t>
    </r>
  </si>
  <si>
    <t xml:space="preserve">Sumatoria de las horas de estadía de los (as) niños (as) en guarderías en el periodo / Número de asistencias de los (as) niños (as) en las guarderías en el periodo </t>
  </si>
  <si>
    <t>Hora de servicio</t>
  </si>
  <si>
    <t>A Atender a los niños (as) de los trabajadores que se encuentren en el supuesto del artículo 201 de la Ley del Seguro Social durante su jornada laboral</t>
  </si>
  <si>
    <r>
      <t>Porcentaje de asistencia promedio diario</t>
    </r>
    <r>
      <rPr>
        <i/>
        <sz val="10"/>
        <color indexed="30"/>
        <rFont val="Soberana Sans"/>
      </rPr>
      <t xml:space="preserve">
</t>
    </r>
  </si>
  <si>
    <t>(Sumatoria del promedio diario de asistencia de los (as) niños (as) en las guarderías en el periodo / Número de niños (as) inscritos (as) en las guarderías en el periodo) * 100</t>
  </si>
  <si>
    <t>Gestión-Eficacia-Mensual</t>
  </si>
  <si>
    <t>B Contar con los lugares en el sistema de guarderías que permitan atender a los hijos (as) de los trabajadores que se encuentren en el supuesto del artículo 201 de la Ley del Seguro Social</t>
  </si>
  <si>
    <r>
      <t>Cobertura de la demanda del servicio de guarderías</t>
    </r>
    <r>
      <rPr>
        <i/>
        <sz val="10"/>
        <color indexed="30"/>
        <rFont val="Soberana Sans"/>
      </rPr>
      <t xml:space="preserve">
</t>
    </r>
  </si>
  <si>
    <t>(Número de lugares instalados en las guarderías en el periodo/Demanda potencial en el periodo) * 100</t>
  </si>
  <si>
    <t>A 1 Evaluar el grado de cumplimiento respecto de la normatividad aplicable vigente con la que se debe otorgar el servicio en las guarderías</t>
  </si>
  <si>
    <r>
      <t>Porcentaje de cumplimiento en la calidad del servicio</t>
    </r>
    <r>
      <rPr>
        <i/>
        <sz val="10"/>
        <color indexed="30"/>
        <rFont val="Soberana Sans"/>
      </rPr>
      <t xml:space="preserve">
</t>
    </r>
  </si>
  <si>
    <t>(Sumatoria de los puntajes obtenidos en la Supervisión Integral del servicio de guardería/ Sumatoria del puntaje máximo esperado en la  Supervisión Integral del Servicio de guardería)*100</t>
  </si>
  <si>
    <t>A 2 Evaluar la percepción de la calidad que tienen los usuarios del servicio de guardería</t>
  </si>
  <si>
    <r>
      <t>Porcentaje de satisfacción de los usuarios del servicio de guardería</t>
    </r>
    <r>
      <rPr>
        <i/>
        <sz val="10"/>
        <color indexed="30"/>
        <rFont val="Soberana Sans"/>
      </rPr>
      <t xml:space="preserve">
</t>
    </r>
  </si>
  <si>
    <t>(Sumatoria de los puntajes obtenidos en las encuestas de satisfacción del servicio de guardería aplicadas / Sumatoria de puntaje máximo esperado de la encuesta de satisfacción del servicio de guardería) * 100</t>
  </si>
  <si>
    <t>Gestión-Calidad-Cuatrimestral</t>
  </si>
  <si>
    <t>B 3 Aprovechar los lugares con los que cuenta actualmente el sistema de guarderías en beneficio de los trabajadores que se encuentran en el supuesto del artículo 201 de la Ley del Seguro Social</t>
  </si>
  <si>
    <r>
      <t>Porcentaje de ocupación en guarderías</t>
    </r>
    <r>
      <rPr>
        <i/>
        <sz val="10"/>
        <color indexed="30"/>
        <rFont val="Soberana Sans"/>
      </rPr>
      <t xml:space="preserve">
</t>
    </r>
  </si>
  <si>
    <t>(Número de niños (as) inscritos (as)  en las guarderías en el periodo / Número de lugares  instalados en las guarderías en el periodo) X 100</t>
  </si>
  <si>
    <r>
      <t xml:space="preserve">Porcentaje de permanencia de la población beneficiada
</t>
    </r>
    <r>
      <rPr>
        <sz val="10"/>
        <rFont val="Soberana Sans"/>
        <family val="2"/>
      </rPr>
      <t xml:space="preserve"> Causa : El indicador alcanzó la meta programada y quedó por arriba en 2.34 puntos porcentuales, equivalente a 3.6% por arriba de la meta planeada, lo que supone que el servicio de guardería contribuye a la permanencia de los beneficiarios en el mercado laboral ya que hacen uso del servicio de guardería en al menos 6 meses. La permanencia de más de seis meses en el servicio de guarderías sugiere un impacto indirecto, ya que depende de múltiples factores económicos, sociales y laborales, es decir, que contar con el servicio de guardería es uno de tantos factores que podrían influir para que una madre trabajadora permanezca en el empleo formal. Efecto: La permanencia en la guardería de al menos 6 meses de los hijos (as) de las (los) trabajadoras (es) beneficiarios, contribuye  en forma indirecta a la estabilidad en el mercado laboral.  De esta manera, el que sus hijas e hijos tengan cuidado durante la jornada de trabajo contribuye a la estadía en el mercado laboral, mientras que sus hijos reciben el servicio de guarderías  que incluye el aseo, la alimentación, el cuidado de la salud, la educación y la recreación acorde a la edad y realidad social  en condiciones de igualdad, calidad, seguridad y protección adecuadas, lo que les permite contar con un desarrollo integral. Otros Motivos:  </t>
    </r>
  </si>
  <si>
    <r>
      <t xml:space="preserve">Tasa de participación femenina en el mercado de trabajo
</t>
    </r>
    <r>
      <rPr>
        <sz val="10"/>
        <rFont val="Soberana Sans"/>
        <family val="2"/>
      </rPr>
      <t>Sin Información,Sin Justificación</t>
    </r>
  </si>
  <si>
    <r>
      <t xml:space="preserve">Tasa de variación de los lugares para el otorgamiento del servicio de guardería
</t>
    </r>
    <r>
      <rPr>
        <sz val="10"/>
        <rFont val="Soberana Sans"/>
        <family val="2"/>
      </rPr>
      <t xml:space="preserve"> Causa : El indicador quedó por arriba de la meta esperada en 4.68 puntos porcentuales. El numerador (Número de lugares instalados en las guarderías al final del periodo) aumentó en 15,360 lugares con respecto a diciembre de 2017, lo anterior debido a la concreción de procesos de contratación de nuevas guarderías y ampliación de capacidad instalada de guarderías existentes llevados a cabo entre 2016 y 2018.   Derivado de que en el mes de junio de 2017, se emitieron los criterios de registro y actualización de la MIR para el ejercicio fiscal 2018, el cálculo del indicador se realizó con base a estimaciones de julio a diciembre de 2017 conforme al comportamiento mensual de enero de 2016 hasta junio 2017, dando como resultado un denominador estimado de 237,418.  Para enero de 2018 se contaba con la meta alcanzada para el denominador de 235,044, sin embargo durante los procesos de ajuste de las metas no se realizó la actualización correspondiente en el PASH; no obstante se estará al pendiente de los períodos de ajuste de metas para aplicarlos en los ejercicios subsecuentes.    Efecto: La meta central para el servicio de guardería ha sido el crecimiento de la capacidad instalada. Derivado de las acciones llevadas a cabo para incrementar los lugares se ha logrado reducir la brecha de cobertura de la demanda del servicio pasando de  77.08% en diciembre de 2017  a 75.42% en diciembre de 2018. Otros Motivos:</t>
    </r>
  </si>
  <si>
    <r>
      <t xml:space="preserve">Horas promedio de estadía de los (as) niños (as) en guarderías
</t>
    </r>
    <r>
      <rPr>
        <sz val="10"/>
        <rFont val="Soberana Sans"/>
        <family val="2"/>
      </rPr>
      <t xml:space="preserve"> Causa : El valor final del indicador quedó por debajo de la meta en 0.02 puntos porcentuales, lo anterior debido a lo siguiente:   La meta corresponde al comportamiento observado en el indicador en 2015 y 2016 así como, a la cifra estimada al cierre de 2017.   Se debe considerar que las horas de estadía de los menores en las guarderías depende de diversos factores tales como los horarios de trabajo, condiciones laborales, factores socio-culturales, entre otros. De esta manera las horas promedio de estadía de los menores en las guarderías quedó en 7.36 que comparada con la meta modificada alcanzó un 99.93% es decir se cumplió con las expectativas esperadas de que los hijos de los trabajadores reciban el servicio de guardería que incluye el aseo, la alimentación, el cuidado de la salud, la educación y la recreación acorde a la edad y realidad social  en condiciones de igualdad, calidad, seguridad y protección adecuadas, lo que les permite contar con un desarrollo integral. Efecto: El servicio de guardería cumple con cubrir el riesgo de no poder proporcionar cuidados durante la jornada de trabajo a los trabajadores que se encuentran al amparo del artículo 201 de la Ley del Instituto Mexicano del Seguro Social, al encontrar en las guarderías un ambiente adecuado para la atención y educación de los menores, las madres beneficiarias pueden realizar sus labores con tranquilidad. De esa manera, se favorece el desarrollo de los niños durante la primera infancia, con un servicio de alto valor educativo, nutricional y de fomento de la salud, fundamentales para generar hábitos indispensables para la vida. Otros Motivos:</t>
    </r>
  </si>
  <si>
    <r>
      <t xml:space="preserve">Porcentaje de asistencia promedio diario
</t>
    </r>
    <r>
      <rPr>
        <sz val="10"/>
        <rFont val="Soberana Sans"/>
        <family val="2"/>
      </rPr>
      <t xml:space="preserve"> Causa : El indicador de asistencia promedio diario quedó por arriba de la meta en 2.16 puntos porcentuales, lo que representó un incremento de 3.3%. Lo anterior debido  a que la variable de inscripción quedó por debajo de la meta esperada en 2.6%, derivado de la apertura de nuevas guarderías, por su parte la asistencia promedio quedó 0.3% por abajo de la meta esperada.  Ambos efectos hicieron que el resultado del indicador fuera mayor a la meta esperada. Efecto: Los menores inscritos asisten con mayor regularidad a la guardería y se benefician de los programas educativos y alimenticios favoreciendo su desarrollo integral. Otros Motivos:</t>
    </r>
  </si>
  <si>
    <r>
      <t xml:space="preserve">Cobertura de la demanda del servicio de guarderías
</t>
    </r>
    <r>
      <rPr>
        <sz val="10"/>
        <rFont val="Soberana Sans"/>
        <family val="2"/>
      </rPr>
      <t xml:space="preserve"> Causa : El indicador de cobertura de la demanda quedó  por arriba de la meta en 1.38 puntos porcentuales, lo que representa un 5.9% por arriba de la meta programada. Lo anterior derivado de la  apertura de 6 guarderías durante el mes de diciembre con un total  de 1,358 nuevos lugares y  232 lugares correspondientes a 10 guarderías que ampliaron su capacidad instalada, dando un total de 1590 nuevos lugares.  Efecto: Al cumplir con la cobertura programada de acuerdo a las cifras reportadas en el mes, se mantiene el nivel de calidad en la atención y servicio esperado por los beneficiarios. Otros Motivos:Se reporta cifras preliminares al mes de diciembre. Las cifras finales para el mes noviembre son: Numerador(CI) =248,947. Denominador(D. potencial)=1,013,049 resultado 24.57 sin cambio en el resultado del indicador.</t>
    </r>
  </si>
  <si>
    <r>
      <t xml:space="preserve">Porcentaje de cumplimiento en la calidad del servicio
</t>
    </r>
    <r>
      <rPr>
        <sz val="10"/>
        <rFont val="Soberana Sans"/>
        <family val="2"/>
      </rPr>
      <t xml:space="preserve"> Causa : El cumplimiento de la calidad en el servicio quedó por arriba de la meta en 2.22 puntos porcentuales, lo que representa un 2.4% por arriba de la meta programada. por lo que los beneficiarios se encuentran satisfechos con el servicio Efecto: El cumplimiento de los estándares de calidad en la prestación del servicio de guardería, contribuye en una adecuada atención de las niñas y niños. Otros Motivos:</t>
    </r>
  </si>
  <si>
    <r>
      <t xml:space="preserve">Porcentaje de satisfacción de los usuarios del servicio de guardería
</t>
    </r>
    <r>
      <rPr>
        <sz val="10"/>
        <rFont val="Soberana Sans"/>
        <family val="2"/>
      </rPr>
      <t xml:space="preserve"> Causa : La meta del cuatrimestre fue superada en 3.37 puntos porcentuales, lo que representa un 3.5% por arriba de la meta programada, lo cual indica que los beneficiarios se encuentran complacidos con el servicio que sus hijas e hijos reciben en las guarderías.    Efecto: El grado de satisfacción reflejado en los instrumentos de recolección de información, significa que los derechohabientes se encuentran contentos con el servicio que reciben sus hijas e hijos por parte de la guarderías que no solo incluye el cuidado diario sino un desarrollo integral en aspectos de salud, psicomotricidad,  socio-afectivos y cognitivos, impulsando la estimulación temprana de los niños en condiciones de igualdad, calidad, seguridad y protección adecuadas,  con personal capacitado en instalaciones que cumplen con los estándares de la norma.   Otros Motivos:</t>
    </r>
  </si>
  <si>
    <r>
      <t xml:space="preserve">Porcentaje de ocupación en guarderías
</t>
    </r>
    <r>
      <rPr>
        <sz val="10"/>
        <rFont val="Soberana Sans"/>
        <family val="2"/>
      </rPr>
      <t xml:space="preserve"> Causa : El indicador del porcentaje de ocupación  quedó por abajo de la meta en 5.6 puntos porcentuales lo que representa un 6.8% por abajo de la meta programada. Lo anterior debido a que la  variable de inscripción con respecto a la meta programada fue menor en 3.4% , debido a la apertura de las nuevas unidades lo que impactó el resultado del indicador.   Efecto: Se permite atender a un mayor de usuarios al mismo tiempo, no obstante la inscripción de las nuevas guarderías presentan niveles bajos de ocupación al inicio de su operación. Otros Motivos:</t>
    </r>
  </si>
  <si>
    <t>E011</t>
  </si>
  <si>
    <t>Atención a la Salud</t>
  </si>
  <si>
    <t>Contribuir a asegurar el acceso efectivo a servicios de salud con calidad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</si>
  <si>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</si>
  <si>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r>
      <t>Tasa de hospitalización por diabetes no controlada con complicaciones de corto plazo (Indicador definido por la OCDE)</t>
    </r>
    <r>
      <rPr>
        <i/>
        <sz val="10"/>
        <color indexed="30"/>
        <rFont val="Soberana Sans"/>
      </rPr>
      <t xml:space="preserve">
Indicador Seleccionado</t>
    </r>
  </si>
  <si>
    <t>Se construye dividiendo el número de egresos hospitalarios con diagnóstico principal de diabetes con complicaciones de corto plazo en población de 15 años y más entre el total de población de 15 años y más que utiliza servicios públicos de salud por 100,000</t>
  </si>
  <si>
    <t>La población usuaria del IMSS presenta menor morbilidad</t>
  </si>
  <si>
    <r>
      <t>Tasa de incidencia de enfermedades crónico degenerativas seleccionadas en derechohabientes del IMSS</t>
    </r>
    <r>
      <rPr>
        <i/>
        <sz val="10"/>
        <color indexed="30"/>
        <rFont val="Soberana Sans"/>
      </rPr>
      <t xml:space="preserve">
</t>
    </r>
  </si>
  <si>
    <t>(Total de casos nuevos de enfermedades crónico degenerativas) / (Población adscrita a médico familiar) X 100, 000</t>
  </si>
  <si>
    <t>Tasa de incidencia</t>
  </si>
  <si>
    <t>A Complicaciones obstétricas y perinatales disminuidas</t>
  </si>
  <si>
    <r>
      <t>Proporción de prematurez</t>
    </r>
    <r>
      <rPr>
        <i/>
        <sz val="10"/>
        <color indexed="30"/>
        <rFont val="Soberana Sans"/>
      </rPr>
      <t xml:space="preserve">
</t>
    </r>
  </si>
  <si>
    <t>Total de recién nacidos vivos menores de 37 semanas de gestación, en un periodo y área geográfica determinados/Total de recién nacidos vivos del mismo periodo y área geográfica * 100</t>
  </si>
  <si>
    <r>
      <t>Porcentaje de preeclampsia - eclampsia</t>
    </r>
    <r>
      <rPr>
        <i/>
        <sz val="10"/>
        <color indexed="30"/>
        <rFont val="Soberana Sans"/>
      </rPr>
      <t xml:space="preserve">
</t>
    </r>
  </si>
  <si>
    <t>(Egresos hospitalarios con diagnóstico de preeclampsia-eclampsia (CIE 10, códigos O13, O14, O15, O16))/(Total de egresos hospitalarios (en el post parto y post aborto) menos los abortos (CIE10 códigos O00 a O08))*100</t>
  </si>
  <si>
    <t>Estratégico-Eficiencia-Trimestral</t>
  </si>
  <si>
    <t>B Infecciones nosocomiales reducidas</t>
  </si>
  <si>
    <r>
      <t xml:space="preserve">Tasa de Infecciones Nosocomiales por 1,000 días estancia en Unidades Médicas Hospitalarias de 20 o más camas censables.    </t>
    </r>
    <r>
      <rPr>
        <i/>
        <sz val="10"/>
        <color indexed="30"/>
        <rFont val="Soberana Sans"/>
      </rPr>
      <t xml:space="preserve">
</t>
    </r>
  </si>
  <si>
    <t xml:space="preserve">(Número de infecciones nosocomiales en Unidades de Segundo nivel de 20 o más camas censables y en Unidades Médicas de Alta Especialidad / Total de días estancia en nidades de Segundo nivel de 20 o más camas censables y en Unidades Médicas de Alta Especialidadl) x 1,000    </t>
  </si>
  <si>
    <t>C Control adecuado de pacientes con enfermedades crónico degenerativas</t>
  </si>
  <si>
    <r>
      <t xml:space="preserve">Porcentaje de pacientes con Diabetes mellitus tipo 2 en control adecuado de glucemia en  ayuno (70 -130 mg/dl)         </t>
    </r>
    <r>
      <rPr>
        <i/>
        <sz val="10"/>
        <color indexed="30"/>
        <rFont val="Soberana Sans"/>
      </rPr>
      <t xml:space="preserve">
</t>
    </r>
  </si>
  <si>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</si>
  <si>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Persona</t>
  </si>
  <si>
    <r>
      <t xml:space="preserve">Porcentaje de pacientes en control adecuado de Hipertensión Arterial Sistémica en Medicina Familiar                  </t>
    </r>
    <r>
      <rPr>
        <i/>
        <sz val="10"/>
        <color indexed="30"/>
        <rFont val="Soberana Sans"/>
      </rPr>
      <t xml:space="preserve">
</t>
    </r>
  </si>
  <si>
    <t xml:space="preserve">Número de pacientes subsecuentes con Diagnóstico de Hipertensión Arterial Sistémica (CIE I10 - I15) con cifras de tensión arterial sistólica menor de 130 mmHg y diastólica de menor 90 mmHg / Total de pacientes subsecuentes con Diagnóstico de Hipertensión Arterial Sistémica) X 100         </t>
  </si>
  <si>
    <t>D Atención médica en servicios de urgencia otorgada</t>
  </si>
  <si>
    <r>
      <t xml:space="preserve">    Porcentaje de pacientes con estancia prolongada (mayor de12 horas) en el área de observación del servicio de urgencias en unidades de segundo nivel    </t>
    </r>
    <r>
      <rPr>
        <i/>
        <sz val="10"/>
        <color indexed="30"/>
        <rFont val="Soberana Sans"/>
      </rPr>
      <t xml:space="preserve">
</t>
    </r>
  </si>
  <si>
    <t xml:space="preserve">(Número de pacientes egresados del área de observación de los servicios de urgencias de segundo nivel, con estancia de más de 12 horas / Total de pacientes egresados de los servicios de urgencias, en unidades de segundo nivel) X 100    </t>
  </si>
  <si>
    <t>Asegurado</t>
  </si>
  <si>
    <t>Gestión-Calidad-Semestral</t>
  </si>
  <si>
    <t>E Atención médica otorgada con oportunidad en UMAE</t>
  </si>
  <si>
    <r>
      <t>Porcentaje de pacientes a quienes se les realiza una cirugía electiva no concertada, a los 20 días hábiles o menos a partir de su solicitud, en Unidades Médicas de Alta Especialidad.</t>
    </r>
    <r>
      <rPr>
        <i/>
        <sz val="10"/>
        <color indexed="30"/>
        <rFont val="Soberana Sans"/>
      </rPr>
      <t xml:space="preserve">
</t>
    </r>
  </si>
  <si>
    <t xml:space="preserve">(Total de pacientes a quienes se les realiza una intervención quirúrgica electiva no concertada, dentro de los 20 días hábiles o menos a partir de la solicitud del cirujano tratante de la UMAE) /( Total de pacientes con solicitud otorgada por el médico tratante para cirugía electiva no concertada en UMAE) X 100    </t>
  </si>
  <si>
    <r>
      <t>Porcentaje de pacientes a quienes se les otorga una consulta de especialidad, a los 20 días hábiles o menos a partir de su solicitud, en Unidades Médicas de Alta Especialidad.</t>
    </r>
    <r>
      <rPr>
        <i/>
        <sz val="10"/>
        <color indexed="30"/>
        <rFont val="Soberana Sans"/>
      </rPr>
      <t xml:space="preserve">
</t>
    </r>
  </si>
  <si>
    <t xml:space="preserve">(Número de pacientes de primera vez con cita programada en especialidades de una UMAE en un plazo de 20 días hábiles o menos a partir de la presentación de la solicitud en la UMAE) / (Total de pacientes a quienes se les otorga una consulta de especialidades de primera vez (por el segundo y eventualmente primer nivel de atención) a la UMAE )X 100     </t>
  </si>
  <si>
    <t>Gestión-Calidad-Trimestral</t>
  </si>
  <si>
    <t>A 1 Atención adecuada de las pacientes embarazadas</t>
  </si>
  <si>
    <r>
      <t xml:space="preserve">Oportunidad de inicio de la vigilancia prenatal    </t>
    </r>
    <r>
      <rPr>
        <i/>
        <sz val="10"/>
        <color indexed="30"/>
        <rFont val="Soberana Sans"/>
      </rPr>
      <t xml:space="preserve">
</t>
    </r>
  </si>
  <si>
    <t xml:space="preserve">(Consultas prenatales de primera vez, en el primer trimestre de la gestación/ Total de consultas prenatales de primera vez ) X 100    </t>
  </si>
  <si>
    <t>Consulta</t>
  </si>
  <si>
    <r>
      <t xml:space="preserve">Promedio de atenciones prenatales por embarazada    </t>
    </r>
    <r>
      <rPr>
        <i/>
        <sz val="10"/>
        <color indexed="30"/>
        <rFont val="Soberana Sans"/>
      </rPr>
      <t xml:space="preserve">
</t>
    </r>
  </si>
  <si>
    <t xml:space="preserve">(Total de consultas para la vigilancia prenatal/Total de consultas de primera vez para la vigilancia prenatal)     </t>
  </si>
  <si>
    <t>B 2 Limpieza de las Unidades Médicas.</t>
  </si>
  <si>
    <r>
      <t>Eficacia del Proceso del Control de Ambientes Físicos</t>
    </r>
    <r>
      <rPr>
        <i/>
        <sz val="10"/>
        <color indexed="30"/>
        <rFont val="Soberana Sans"/>
      </rPr>
      <t xml:space="preserve">
</t>
    </r>
  </si>
  <si>
    <t>(Promedio nacional mensual del registro resultante de la suma de las calificaciones obtenidas del Nivel Integral de Limpieza (NIL) por las Delegaciones y UMAE en el mes del informe / Número de entidades del sistema que enviaron el reporte)</t>
  </si>
  <si>
    <t>C 3 Atención a pacientes con enfermedades crónicas en unidades de medicina familiar</t>
  </si>
  <si>
    <r>
      <t xml:space="preserve">Pacientes subsecuentes con diagnóstico de Diabetes Mellitus tipo 2         </t>
    </r>
    <r>
      <rPr>
        <i/>
        <sz val="10"/>
        <color indexed="30"/>
        <rFont val="Soberana Sans"/>
      </rPr>
      <t xml:space="preserve">
</t>
    </r>
  </si>
  <si>
    <t xml:space="preserve">Número total de pacientes subsecuentes con diagnóstico de Diabetes Mellitus tipo 2 que acuden a la consulta de medicina familiar         </t>
  </si>
  <si>
    <r>
      <t xml:space="preserve">Pacientes con diagnóstico de Hipertensión Arterial Sistémica que acuden de manera subsecuente a la consulta de Medicina Familiar                 </t>
    </r>
    <r>
      <rPr>
        <i/>
        <sz val="10"/>
        <color indexed="30"/>
        <rFont val="Soberana Sans"/>
      </rPr>
      <t xml:space="preserve">
</t>
    </r>
  </si>
  <si>
    <t xml:space="preserve">Número total de pacientes subsecuentes con Diagnóstico de Hipertensión Arterial Sistémica que acuden a la consulta de medicina familiar          </t>
  </si>
  <si>
    <t>C 4 Suministro de medicamentos</t>
  </si>
  <si>
    <r>
      <t>Porcentaje de surtimiento de recetas médicas</t>
    </r>
    <r>
      <rPr>
        <i/>
        <sz val="10"/>
        <color indexed="30"/>
        <rFont val="Soberana Sans"/>
      </rPr>
      <t xml:space="preserve">
</t>
    </r>
  </si>
  <si>
    <t>(Total de recetas de medicamentos atendidas/Total de recetas individuales de medicamentos presentadas)*100</t>
  </si>
  <si>
    <t>Recetas</t>
  </si>
  <si>
    <t>D 5 Otorgamiento de consulta en urgencias</t>
  </si>
  <si>
    <r>
      <t xml:space="preserve">Índice consultas de urgencias por 1000 derechohabientes en unidades de segundo nivel    </t>
    </r>
    <r>
      <rPr>
        <i/>
        <sz val="10"/>
        <color indexed="30"/>
        <rFont val="Soberana Sans"/>
      </rPr>
      <t xml:space="preserve">
</t>
    </r>
  </si>
  <si>
    <t xml:space="preserve">(Total de consultas de urgencias otorgadas en unidades de segundo nivel / total de derechohabientes adscritos a médico familiar) X 1000    </t>
  </si>
  <si>
    <t>E 6 Programación de atención médica y quirúrgica en Unidades Médicas de Alta Especialidad.</t>
  </si>
  <si>
    <r>
      <t xml:space="preserve">Total de cirugías electivas programadas en Unidades Médicas de Alta Especialidad    </t>
    </r>
    <r>
      <rPr>
        <i/>
        <sz val="10"/>
        <color indexed="30"/>
        <rFont val="Soberana Sans"/>
      </rPr>
      <t xml:space="preserve">
</t>
    </r>
  </si>
  <si>
    <t xml:space="preserve">Total de cirugías  electivas programadas realizadas en Unidades Médicas de Alta Especialidad     </t>
  </si>
  <si>
    <t>Cirugías</t>
  </si>
  <si>
    <r>
      <t xml:space="preserve">Total de consultas de  primera vez otorgadas en Unidades Médicas de Alta Especialidad    </t>
    </r>
    <r>
      <rPr>
        <i/>
        <sz val="10"/>
        <color indexed="30"/>
        <rFont val="Soberana Sans"/>
      </rPr>
      <t xml:space="preserve">
</t>
    </r>
  </si>
  <si>
    <t xml:space="preserve">Total de consultas de primera vez otorgadas en Unidades Médicas de Alta Especialidad    </t>
  </si>
  <si>
    <r>
      <t xml:space="preserve">Tasa de hospitalización por diabetes no controlada con complicaciones de corto plazo (Indicador definido por la OCDE)
</t>
    </r>
    <r>
      <rPr>
        <sz val="10"/>
        <rFont val="Soberana Sans"/>
        <family val="2"/>
      </rPr>
      <t>Sin Información,Sin Justificación</t>
    </r>
  </si>
  <si>
    <r>
      <t xml:space="preserve">Tasa de incidencia de enfermedades crónico degenerativas seleccionadas en derechohabientes del IMSS
</t>
    </r>
    <r>
      <rPr>
        <sz val="10"/>
        <rFont val="Soberana Sans"/>
        <family val="2"/>
      </rPr>
      <t xml:space="preserve"> Causa : De los padecimientos incluidos en el indicador, en términos absolutos se incrementaron los casos diagnosticados de hipertensión arterial y diabetes mellitus y aunque la población también tuvo incremento, el valor relativo (tasa) es superior a la meta ajustada . Por otra parte, el efecto esperado al fortalecer las acciones de detección en ambos padecimientos se traduce en un incremento del número de casos diagnosticados que se espera sea en etapas tempranas de la enfermedad, por lo que a pesar de haber rebasado la meta esperada, se considera un resultado positivo. Efecto: Incremento en el número de casos de padecimientos con programas de detección (hipertensión arterial y diabetes mellitus).  Otros Motivos:El dato reportado es preliminar y el indicador es sensible a la variación de los datos necesarios para su cálculo (casos y población). Las cifras definitivas estarán disponibles en el mes de junio de 2019.</t>
    </r>
  </si>
  <si>
    <r>
      <t xml:space="preserve">Proporción de prematurez
</t>
    </r>
    <r>
      <rPr>
        <sz val="10"/>
        <rFont val="Soberana Sans"/>
        <family val="2"/>
      </rPr>
      <t xml:space="preserve"> Causa : La prematurez se mantiene elevada debido a: a)la decisión de las mujeres de postergar la edad del embarazo después de los 34 años, y la presencia cada vez mas común de mujeres con enfermedades preexistentes como diabetes, hipertensión, enfermedades autoinmunes que deciden embarazarse.   b) Las complicaciones inherentes al embarazo como: la infección genitourinaria que provoca ruptura prematura de membranas y condiciona el desencadenamiento de partos prematuros; la preclampsia-eclampsia que incrementa el riesgo de parto prematuro y prematurez; el antecedente de cesárea en la embarazada aumenta el riesgo de anomalías en la inserción de la placenta que provocan hemorragia y por consecuencia el nacimiento prematuro.  c) La aplicación de tecnologías de reproducción que favorece el Incremento de mujeres que desarrollan embarazos múltiples que terminan en nacimientos antes del termino.  El aumento en el numero de prematuros extremos  (menos de 1,500 gramos al nacer) que mejoran su sobrevida al nacer con el uso generalizado actual de fármacos (esquema de inductores de maduración pulmonar al feto y factor surfactante al recién nacido), lo que incrementa el número de recién nacidos prematuros. Efecto: Las causas señaladas son factores de riesgo para el nacimiento de niños prematuros. Otros Motivos:La OMS refiere que en los países de ingresos bajos, una media del 12% de los niños nace antes de tiempo, frente al 9% en los países de ingresos más altos. Dentro de un mismo país las familias más pobres corren un riesgo mayor prematuro. También señala que hay un incremento de ésta por las causas descritas. En 2019 se mantendrán las acciones para mejorar la meta. Datos del periodo enero-septiembre 2018,ultima información disponible en el IMSS/DIS</t>
    </r>
  </si>
  <si>
    <r>
      <t xml:space="preserve">Porcentaje de preeclampsia - eclampsia
</t>
    </r>
    <r>
      <rPr>
        <sz val="10"/>
        <rFont val="Soberana Sans"/>
        <family val="2"/>
      </rPr>
      <t xml:space="preserve"> Causa : La mejora en la calidad de atención en cuanto al diagnóstico y tratamiento oportunos; así como en el registro en las fuentes primarias que alimentan el sistema de información, han permitido que la proporción de preeclampsia - eclampsia, se encuentre dentro del desempeño esperado; de acuerdo con la evidencia científica que señala que la preeclampsia - eclampsia afecta entre 5 y 12% de la población en países emergentes (Según la Organización Mundial de la Salud - OMS). Por lo que el avance del indicador se encuentra dentro del rango esperado.    El resultado del indicador varia en un intervalo debido a que la preeclampsia es una enfermedad cuya etiología se desconoce, por lo que no se puede evitar, se presenta exclusivamente en las mujeres durante el embarazo, el parto y el puerperio, desde el punto de vista médico lo que se pretende es identificarla a tiempo y tratarla oportunamente para que el pronóstico sea bueno para la mujer su hijo(a).    Es importante considerar que en las mujeres con enfermedades preexistentes como diabetes, hipertensión y obesidad se incrementa la posibilidad entre el 30% al 50% de desarrollar preeclampsia-eclampsia durante el embarazo, por lo que se mantendrán las acciones de mejora en la consulta preconcepcional para que las mujeres con estas enfermedades se embaracen en las mejores condiciones de salud (controladas). Efecto: La vigencia en las acciones, permiten diagnosticar con oportunidad la posibilidad de presentar preeclampsia-eclampsia en las mujeres durante el embarazo y/o intervenir para evitar mayor morbilidad o mortalidad por esta causa. Otros Motivos:Datos del período enero-septiembre 2018, última información disponible en el IMSS/DIS</t>
    </r>
  </si>
  <si>
    <r>
      <t xml:space="preserve">Tasa de Infecciones Nosocomiales por 1,000 días estancia en Unidades Médicas Hospitalarias de 20 o más camas censables.    
</t>
    </r>
    <r>
      <rPr>
        <sz val="10"/>
        <rFont val="Soberana Sans"/>
        <family val="2"/>
      </rPr>
      <t xml:space="preserve"> Causa : Se continua con la aplicación del Modelo de Gestión de Riesgos en la identificación de riesgos en los procesos críticos  focalizado al Programa de Vigilancia Epidemiológica de las Infecciones Asociada a la Atención de la Salud su prevención y control, se esta impulsando a las unidades médicas en la implementación del Modelo de Seguridad del Paciente del Consejo de Salubridad General (CSG), para la aplicación del Programa de Prevención y Control de Infecciones, coadyuvando en la mejora de los procesos, mediante una evaluación externa por el CSG quien otorga un distintivo por la implementación del proceso. Efecto: Mejora de los procesos críticos relacionados a las Infecciones Asociadas a la Atención de la Salud. Otros Motivos:Se cuenta con información oficial hasta el mes de septiembre; información preliminar.</t>
    </r>
  </si>
  <si>
    <r>
      <t xml:space="preserve">Porcentaje de pacientes con Diabetes mellitus tipo 2 en control adecuado de glucemia en  ayuno (70 -130 mg/dl)         
</t>
    </r>
    <r>
      <rPr>
        <sz val="10"/>
        <rFont val="Soberana Sans"/>
        <family val="2"/>
      </rPr>
      <t xml:space="preserve"> Causa : En términos absolutos el número de pacientes con Diabetes mellitus tipo 2 (CIE-10 E11) subsecuentes con cifras de glucemia de 70 a 130 mg/dl en el resultado más reciente de los últimos 3 meses fue mayor a la meta; sin embargo, el número de pacientes con diabetes mellitus tipo 2 subsecuentes atendidos en el periodo fue mucho mayor a lo esperado. De esta forma, el resultado obtenido del indicador es inferior a lo programado, debido a que el número de pacientes subsecuentes que acuden a cita médica para control de Diabetes Mellitus tipo 2 ha disminuido, como resultado de las estrategias  implementadas en las unidades de primer nivel, como lo es el Modelo Preventivo de Enfermedades Crónicas en el que participa el médico y equipo multidisciplinario que proporcionan atención integral, además está el uso de la Receta Resurtible que disminuye la asistencia mensual de los pacientes subsecuentes, por una periodicidad mayor (trimestral).   Efecto: Consolidar  las acciones implementadas en las unidades de primer nivel, a través de programas específicos para pacientes con diagnóstico de Diabetes Mellitus tipo 2 en los que participa el médico y el equipo multidisciplinario; así mismo disminuir el riesgo a presentar  complicaciones de forma temprana en los pacientes con Diabetes Mellitus controlados   Otros Motivos:Indicador estimado al mes de diciembre con cifras definitivas al mes de septiembre.  </t>
    </r>
  </si>
  <si>
    <r>
      <t xml:space="preserve">Porcentaje de pacientes en control adecuado de Hipertensión Arterial Sistémica en Medicina Familiar                  
</t>
    </r>
    <r>
      <rPr>
        <sz val="10"/>
        <rFont val="Soberana Sans"/>
        <family val="2"/>
      </rPr>
      <t xml:space="preserve"> Causa : En términos absolutos el número de pacientes subsecuentes con Diagnóstico de Hipertensión Arterial Sistémica (CIE I10 - I15) con cifras de tensión arterial sistólica menor de 130 mmHg y diastólica menor de 90 mmHg fue mayor a la meta establecida; sin embargo, el número de pacientes subsecuentes con Diagnóstico de Hipertensión Arterial Sistémica resultó mayor a lo esperado. De esta forma, en términos relativos el resultado obtenido está por debajo de la meta, debido a que el número de pacientes que acudieron a cita mensual para valorar el control de la enfermedad de Hipertensión Arterial fue menor con relación al total de pacientes con diagnóstico, como consecuencia del uso de la Receta Resurtible que disminuye la asistencia mensual por una periodicidad trimestral; no obstante, lo anterior puede valorarse como un reflejo de la participación del médico y equipo multidisciplinario en el tratamiento farmacológico y la modificación de los estilos de vida (obesidad, tabaquismo, sedentarismo, dieta saludable) condiciones que se cubren con programas específicos,  los cuales se proporcionan en las Unidades de Medicina Familiar. Efecto: El efecto es optimizar los recursos en las unidades de primer nivel, mediante programas definidos para pacientes con diagnóstico de Hipertensión Arterial en los que participa el médico y el equipo multidisciplinario; esperando disminuir la presencia de complicaciones por Hipertensión Arterial, así como liberar espacios en la consulta externa de Medicina Familiar  Otros Motivos:Indicador estimado al mes de diciembre con cifras definitivas al mes de septiembre.  </t>
    </r>
  </si>
  <si>
    <r>
      <t xml:space="preserve">    Porcentaje de pacientes con estancia prolongada (mayor de12 horas) en el área de observación del servicio de urgencias en unidades de segundo nivel    
</t>
    </r>
    <r>
      <rPr>
        <sz val="10"/>
        <rFont val="Soberana Sans"/>
        <family val="2"/>
      </rPr>
      <t xml:space="preserve"> Causa :  El logro del indicador es preliminar al mes de septiembre 2018. adicionalmente con la finalidad de optimizar la utilización del servicio de urgencias, se continua con las siguientes estrategias:                                                                                                                                  -  mejora de la oportunidad de la atencion mediante la clasificación  de la gravedad de los pacientes  en Triage.                                                                                        - Envío consensuado de pacientes con urgencias sentidas (no reales) a primer nivel para su atención, con supervisión de los acuerdos de gestión entre las unidades de primero y  segundo nivel, para garantizar la atención de estos pacientes  en los servicios de atención médica continua, urgencias o consulta externa de las Unidades de Medicina Familiar de la zona correspondiente. Efecto:  Incremento de casos de mayor complejidad de los servicios de urgencias en 0.6 puntos con respecto a la meta ajustada.  Otros Motivos: El porcentaje de cumplimiento es aceptable y está en  98%. </t>
    </r>
  </si>
  <si>
    <r>
      <t xml:space="preserve">Porcentaje de pacientes a quienes se les realiza una cirugía electiva no concertada, a los 20 días hábiles o menos a partir de su solicitud, en Unidades Médicas de Alta Especialidad.
</t>
    </r>
    <r>
      <rPr>
        <sz val="10"/>
        <rFont val="Soberana Sans"/>
        <family val="2"/>
      </rPr>
      <t xml:space="preserve"> Causa : El resultado indica 2.29%  puntos porcentuales por arriba de la meta programada. Causa: Continua con el proceso de actualizar el número de salas efectivas en el sistema de información  médico operativo (SIMO), este indicador   refleja el uso eficiente  de quirófanos para abatir el rezago quirúrgico.  Efecto: Atención quirúrgica oportuna para tratamiento de padecimientos de resolución quirúrgica. Otros Motivos:Se reporta solo la información oficial que corresponde al mes de octubre y noviembre 2018  lo  que representa dos terceras partes del trimestre.</t>
    </r>
  </si>
  <si>
    <r>
      <t xml:space="preserve">Porcentaje de pacientes a quienes se les otorga una consulta de especialidad, a los 20 días hábiles o menos a partir de su solicitud, en Unidades Médicas de Alta Especialidad.
</t>
    </r>
    <r>
      <rPr>
        <sz val="10"/>
        <rFont val="Soberana Sans"/>
        <family val="2"/>
      </rPr>
      <t xml:space="preserve"> Causa : El resultado se encuentra 10.94  puntos porcentuales por debajo de la meta establecida, lo cual se debe al incremento en el número de consultas de primera vez que son solicitadas a las UMAE, y que se explica por la transición epidemiológica que ocasiona una mayor complejidad de la patología crónica degenerativa. Efecto: Se rebasa la capacidad instalada en  las Unidades Médicas de Alta Especialidad, con lo cual se presenta diferimiento para la atención ambulatoria de los pacientes referidos a las Unidades Médicas de Alta Especialidad.  Otros Motivos:Se reporta solo la información oficial que corresponde al mes de octubre y noviembre 2018  lo que representa dos terceras partes del trimestre.</t>
    </r>
  </si>
  <si>
    <r>
      <t xml:space="preserve">Oportunidad de inicio de la vigilancia prenatal    
</t>
    </r>
    <r>
      <rPr>
        <sz val="10"/>
        <rFont val="Soberana Sans"/>
        <family val="2"/>
      </rPr>
      <t xml:space="preserve"> Causa : Información estimada del periodo enero - diciembre de 2018.            La oportunidad de inicio de la vigilancia prenatal durante el primer trimestre de gestación, resultó en 53.7%.         Conforme al Manual Metodológico de Indicadores Médicos 2018 del IMSS, se considera con un desempeño medio, ya que se interpreta que 5 de cada 10 embarazadas acuden al inicio de su vigilancia prenatal antes de las primeras 12 semanas y 6 días de la gestación. Lo anterior toma en cuenta el cumplimiento de las recomendaciones para la vigilancia prenatal emitidas por la OMS Efecto: La finalidad de iniciar tempranamente la atención prenatal es brindarle todas las acciones médico preventivas  para poder culminar la gestación a término, con la madre y el producto saludables. Otros Motivos:En la actualidad, ya no es obligatorio que la embarazada acuda a la atención prenatal, si ella no va a atenderse en el Instituto, simplemente con que se presente a partir de la semana 34 de gestación para la expedición de su incapacidad por maternidad, esto ha impactado de manera negativa en el cumplimiento de la meta.</t>
    </r>
  </si>
  <si>
    <r>
      <t xml:space="preserve">Promedio de atenciones prenatales por embarazada    
</t>
    </r>
    <r>
      <rPr>
        <sz val="10"/>
        <rFont val="Soberana Sans"/>
        <family val="2"/>
      </rPr>
      <t xml:space="preserve"> Causa : Información estimada del periodo enero - diciembre de 2018.        El promedio de atenciones prenatales por embarazada resultó 6.7, por abajo de la meta establecida para el periodo (7.0). Dentro de las causas identificadas que influyeron en que no se alcanzara la meta, es que la atención prenatal ya no es obligatoria, con una sola consulta que tenga la embarazada se le otorga su incapacidad y ella puede recibir atención médica donde lo desee. Efecto: Se propicia que la embarazada asista a la vigilancia prenatal en forma periódica, lo cual contribuye a la detección oportuna de signos y síntomas que pudieran complicar el embarazo.  Otros Motivos:</t>
    </r>
  </si>
  <si>
    <r>
      <t xml:space="preserve">Eficacia del Proceso del Control de Ambientes Físicos
</t>
    </r>
    <r>
      <rPr>
        <sz val="10"/>
        <rFont val="Soberana Sans"/>
        <family val="2"/>
      </rPr>
      <t xml:space="preserve"> Causa : Se registró un avance de 87.77 al cuarto trimestre de 2018, por lo que se alcanzó un cumplimiento de 87.77% de la meta establecida para el trimestre,  debido a la vacancia de plazas de limpieza, sin embargo se continua dando  prioridad a la limpieza de áreas de alto riesgo como terapias intensivas, quirófanos, hospitalización, urgencias, hemodiálisis y CEyE sin desatender salas de espera, circulaciones, áreas de urgencia y consultorios entre otros servicios, manteniendo un nivel adecuado de limpieza en las mismas. Efecto: Toda vez que  las áreas administrativas delegacionales han realizado la gestión para la cobertura de plazas vacantes, estas se cubren en diversos casos con personal temporal,  y con apoyo de personal de otras unidades así como dando continuidad a la capacitación continua en aspectos de limpieza y desinfección de áreas al personal de limpieza e higiene. Otros Motivos:En relación a la observación de la UED, se informa que el denominador de la Meta se refiere al valor máximo de referencia,  que es igual a 243 informes entregados por Delegaciones y UMAE en el trimestre.    En el avance se refiere a Número de Delegaciones y UMAE que entregaron su informe en el Trimestre  con el cual se obtiene el resultado de la siguiente manera:    RESULTADOS DEL CONTROL DE AMBIENTES FÍSICOS (115) = ¿ Calificaciones del nivel de limpieza en Delegaciones y UMAE / Número de Delegaciones y UMAE    Estos siempre van a ser menor, debido al desfase de un mes, que existe en la entrega del indicador, lo cual está establecido en el ¿Instructivo de Aplicación del Sistema de Evaluación Institucional de los Servicios de Conservación¿ (NIC),  </t>
    </r>
  </si>
  <si>
    <r>
      <t xml:space="preserve">Pacientes subsecuentes con diagnóstico de Diabetes Mellitus tipo 2         
</t>
    </r>
    <r>
      <rPr>
        <sz val="10"/>
        <rFont val="Soberana Sans"/>
        <family val="2"/>
      </rPr>
      <t xml:space="preserve"> Causa : El indicador está por encima de lo esperado, como causa de que los pacientes con Diabetes Mellitus subsecuentes asisten de forma más constante a la cita, para  la atención  médica, donde se proporciona tratamiento farmacológico y no farmacológico, aunado a que no se debe negar la atención medica a los derechohabientes  Efecto: Como efecto las condiciones de salud del paciente con Diabetes Mellitus se modifican para retrasar la presencia de complicaciones   Otros Motivos:Indicador estimado al mes de diciembre con cifras definitivas al mes de septiembre.  </t>
    </r>
  </si>
  <si>
    <r>
      <t xml:space="preserve">Pacientes con diagnóstico de Hipertensión Arterial Sistémica que acuden de manera subsecuente a la consulta de Medicina Familiar                 
</t>
    </r>
    <r>
      <rPr>
        <sz val="10"/>
        <rFont val="Soberana Sans"/>
        <family val="2"/>
      </rPr>
      <t xml:space="preserve"> Causa : Se identifica un resultado por arriba de la meta esperada, a causa del aumento de pacientes que acuden a cita de manera subsecuente con el propósito de continuar con un mejor seguimiento en su tratamiento, aunado a que el servicio medico no se niega a ningún derechohabiente que lo solicite Efecto: El efecto es favorecer a mantener un mejor control del tratamiento integral para Hipertensión Arterial  Otros Motivos:Indicador estimado al mes de diciembre con cifras definitivas al mes de septiembre.  </t>
    </r>
  </si>
  <si>
    <r>
      <t xml:space="preserve">Porcentaje de surtimiento de recetas médicas
</t>
    </r>
    <r>
      <rPr>
        <sz val="10"/>
        <rFont val="Soberana Sans"/>
        <family val="2"/>
      </rPr>
      <t xml:space="preserve"> Causa : El indicador de recetas de medicamentos acumulado a diciembre de 2018 superó la meta en 1.64 puntos porcentuales, respecto del pronóstico al 4° trimestre.  Lo anterior, derivado de las estrategias implementadas para la mejora del abasto de medicamentos las cuales son las siguientes: *La compra consolidada que concentra los requerimientos de bienes terapéuticos del Sector Público donde participaron 50 entidades públicas, de las cuales 5 son dependencias y/o entidades federales, 22 gobiernos estatales y 23 institutos de salud.  Esta estrategia de compra ha garantizado el abasto oportuno de sus necesidades de medicamentos, vacunas y material de curación, en beneficio de la población usuaria. *El esquema de abasto consumo en demanda, se han seleccionado los medicamentos que de acuerdo con el comportamiento de su demanda se determina incluirlos bajo este esquema, el cual permite, tanto a la industria farmacéutica como al IMSS, mantener un nivel de inventario suficiente para atender las necesidades de los medicamentos de mayor uso. De igual manera se dio continuidad al mecanismo de entrega directa en farmacias, en el cual se contratan medicamentos de alto costo y alta especialidad, para que los proveedores realicen las entregas para el abastecimiento directamente en las farmacias de hospitales del Instituto. Con este esquema se mejoró el abastecimiento de dichos medicamentos con una distribución más eficiente y con menores costos de almacenaje y resguardo. Con el Programa Tu Receta es tu Vale convierte en vale electrónico la receta que no fue surtida cuando alguno de los medicamentos prescritos no estén disponibles en la farmacia de la Unidad Médica donde se expidió, esta puede ser canjeada en una Unidad reforzada u otra farmacia del IMSS que participe en el programa. Éste se encuentra operando en 4 Deleg: CDMX Sur y Norte, Edo Méx Ote, Jal y Qro.  En estas se habilitó un Centro de Canje de medicamentos, en que los DH podrán obtener sus medicinas con oportunidad.   Efecto: La estrategia de compra consolidada incluyó 1,477 claves de medicamentos y material de curación con un importe consolidado de 58,435 mdp, de las que se adjudicaron 1,340 por un monto de 48,491 mdp, convirtiéndose en la más grande del sector público.   Para el esquema de consumo en demanda se contrataron más de 377 millones de piezas de 20 medicamentos, que representan 33.8% del total de piezas de medicamentos contratados y alrededor de 2,435 millones de pesos, que corresponde a 7.2% del importe total contratado.  Para 2018 se contrataron bajo el esquema de entrega directa en farmacia, 135 medicamentos de alto costo y alta especialidad para el abastecimiento de más de 3 millones de piezas (0.27% del total de piezas de medicamentos), que representan 11,439 millones de pesos, es decir, 33.9% del importe total de medicamentos contratados.   Otros Motivos:Del 1 de enero al 31 de diciembre se atendieron 69,413 vales, de un total de 180,682 vales que se generaron durante el periodo; asimismo, y 99.60% de atención de recetas, se han reducido las quejas por falta de medicamentos en 97.18% en promedio, en las Delegaciones incluidas en el Programa.</t>
    </r>
  </si>
  <si>
    <r>
      <t xml:space="preserve">Índice consultas de urgencias por 1000 derechohabientes en unidades de segundo nivel    
</t>
    </r>
    <r>
      <rPr>
        <sz val="10"/>
        <rFont val="Soberana Sans"/>
        <family val="2"/>
      </rPr>
      <t xml:space="preserve"> Causa : El logro del indicador es preliminar al mes de septiembre 2018, no alcanzándose la meta anual de 141,esto debido a que existe desfase en  el sistema de información en donde aun no se cuenta con la información de los últimos tres meses. Se estima que se reporten más de 1,900,000 de consultas de urgencias en los tres meses restantes ( de acurdo al promedio mensual de consultas), las cuales sumadas a las consultas reportadas (5,741,197) nos darán 7,654,929 para un indice de consultas de urgencias por 1,000 dh de 161.4, alcanzándose la metas anual establecida.   Adicionalmente con la finalidad de optimizar la utilización del servicio de urgencias, se continua con las siguientes  estrategias:                                                                                                                                  -  mejora de la oportunidad de la atención mediante la clasificación  de la gravedad de los pacientes  en Triage.                                                                                                                                                                                                            - Envío consensuado de pacientes con urgencias sentidas (no reales) a primer nivel para su atención, con supervisión de los acuerdos de gestión entre las unidades de primero y  segundo nivel, para garantizar la atención de estos pacientes  en los servicios de atención médica continua, urgencias o consulta externa de las Unidades de Medicina Familiar de la zona correspondiente. Efecto: Reducción en las atenciones de consulta de los servicios de urgencias. Otros Motivos:l Instituto continúa con la implementación de la nueva plataforma para el registro de las atenciones en consulta de los servicios de urgencias, lo que ha condicionado ajustes continuos en el sistema de información. Este sistema está fuera del control de los enlaces Operativos de la Matriz de indicadores para Resultados</t>
    </r>
  </si>
  <si>
    <r>
      <t xml:space="preserve">Total de cirugías electivas programadas en Unidades Médicas de Alta Especialidad    
</t>
    </r>
    <r>
      <rPr>
        <sz val="10"/>
        <rFont val="Soberana Sans"/>
        <family val="2"/>
      </rPr>
      <t xml:space="preserve"> Causa : Se realizaron 25,284 cirugías menos a la meta sin embargo la información solo se tiene de manera oficial al mes de septiembre y se realiza la estimación del mes de octubre. Efecto: Se puede otorgar atención quirúrgica con oportunidad, y se disminuye el diferimiento quirúrgico. Otros Motivos:Se reportara la cifra total en la Cuenta Pública 2018 ya que hasta el momento los sistemas de información oficial no han concluido el cierre.</t>
    </r>
  </si>
  <si>
    <r>
      <t xml:space="preserve">Total de consultas de  primera vez otorgadas en Unidades Médicas de Alta Especialidad    
</t>
    </r>
    <r>
      <rPr>
        <sz val="10"/>
        <rFont val="Soberana Sans"/>
        <family val="2"/>
      </rPr>
      <t xml:space="preserve"> Causa : Se otorgaron 680,099 consultas de especialidad de primera vez más de las que se establecieron en la meta, probablemente a la captura adecuada en  la plataforma del Sistema Médico Operativo (SIMO C). Efecto: Se otorga el servicio de consulta de especialidades a un mayor número de pacientes que así lo requieren sin embargo se limitan los espacios para otorgar consulta con oportunidad, lo que ocasiona diferimiento en la consulta de especialidades. Otros Motivos:Se reporta información hasta el mes de diciembre.</t>
    </r>
  </si>
  <si>
    <t>E012</t>
  </si>
  <si>
    <t>Prestaciones sociales</t>
  </si>
  <si>
    <t>9 - Otros de Seguridad Social y Asistencia Social</t>
  </si>
  <si>
    <t>8 - Prestaciones sociales eficientes</t>
  </si>
  <si>
    <t>Contribuir a consolidar las acciones de protección, promoción de la salud y prevención de enfermedades mediante la mejora en el bienestar social de las personas con acceso a seguridad social y servicios de salud por afiliación al IMSS.</t>
  </si>
  <si>
    <r>
      <t>Proporción de personas con acceso a seguridad social que tienen acceso a servicios de salud por afiliación al IMSS.</t>
    </r>
    <r>
      <rPr>
        <i/>
        <sz val="10"/>
        <color indexed="30"/>
        <rFont val="Soberana Sans"/>
      </rPr>
      <t xml:space="preserve">
</t>
    </r>
  </si>
  <si>
    <t>(Personas con acceso a seguridad social y servicios de salud por afiliación al IMSS / Personas en situación de pobreza o vulnerabilidad)*100</t>
  </si>
  <si>
    <t xml:space="preserve">Porcentaje de la población </t>
  </si>
  <si>
    <t>Personas con acceso a seguridad social y servicios de salud por afiliación al IMSS mejoran su bienestar social</t>
  </si>
  <si>
    <r>
      <t>Variación porcentual de satisfacción con la vida reportada por afiliados al IMSS respecto no afiliados al IMSS</t>
    </r>
    <r>
      <rPr>
        <i/>
        <sz val="10"/>
        <color indexed="30"/>
        <rFont val="Soberana Sans"/>
      </rPr>
      <t xml:space="preserve">
</t>
    </r>
  </si>
  <si>
    <t>(Calificación de satisfacción con la vida declarada por afiliados IMSS/ Calificación de satisfacción con la vida declarada por NO afiliados IMSS)-1 *100</t>
  </si>
  <si>
    <t>Variación porcentual</t>
  </si>
  <si>
    <t>Estratégico-Calidad-Bienal</t>
  </si>
  <si>
    <r>
      <t>Índice de prestaciones sociales (IPS)</t>
    </r>
    <r>
      <rPr>
        <i/>
        <sz val="10"/>
        <color indexed="30"/>
        <rFont val="Soberana Sans"/>
      </rPr>
      <t xml:space="preserve">
</t>
    </r>
  </si>
  <si>
    <t>IPS=[(Porcentaje obtenido en el Nivel Integral de Conservación en los Centros Vacacionales)+ (Porcentaje de satisfacción de los servicios otorgados en los Velatorios IMSS-FIBESO )+ (Porcentaje de cursos y talleres impartidos respecto los planeados)]/3</t>
  </si>
  <si>
    <t>Índice</t>
  </si>
  <si>
    <t>Estratégico-Calidad-Anual</t>
  </si>
  <si>
    <t>A Cursos y talleres de capacitación y adiestramiento técnico, promoción de la salud, cultura física y deporte y desarrollo cultural otorgados</t>
  </si>
  <si>
    <r>
      <t>Variación de usuarios de cursos y talleres de capacitación y adiestramiento, promoción de la salud, cultura y deporte y desarrollo cultural realizados respecto al periodo anterior</t>
    </r>
    <r>
      <rPr>
        <i/>
        <sz val="10"/>
        <color indexed="30"/>
        <rFont val="Soberana Sans"/>
      </rPr>
      <t xml:space="preserve">
</t>
    </r>
  </si>
  <si>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</si>
  <si>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B Servicios funerarios prestados</t>
  </si>
  <si>
    <r>
      <t>Variación porcentual de servicios funerarios contratados respecto al mismo periodo del año anterior</t>
    </r>
    <r>
      <rPr>
        <i/>
        <sz val="10"/>
        <color indexed="30"/>
        <rFont val="Soberana Sans"/>
      </rPr>
      <t xml:space="preserve">
</t>
    </r>
  </si>
  <si>
    <t xml:space="preserve">[(Número de servicios contratados en el trimestre n del año t / Número de servicios contratados en el trimestre n del año t-1)-1] * 100 </t>
  </si>
  <si>
    <t>Servicio</t>
  </si>
  <si>
    <t>C Centros Vacacionales que propician actividades de esparcimiento (recreación, deporte e integración) visitados</t>
  </si>
  <si>
    <r>
      <t>Tasa de variación de los usuarios atendidos en los centros vacacionales que propician actividades de esparcimiento</t>
    </r>
    <r>
      <rPr>
        <i/>
        <sz val="10"/>
        <color indexed="30"/>
        <rFont val="Soberana Sans"/>
      </rPr>
      <t xml:space="preserve">
</t>
    </r>
  </si>
  <si>
    <t xml:space="preserve">[(Número de usuarios atendidos en el trimestre n del año t / Número de usuarios atendidos en el trimestre n del año t-1)-1] * 100 </t>
  </si>
  <si>
    <t>A 1 Programar cursos y talleres de desarrollo cultural</t>
  </si>
  <si>
    <r>
      <t>Eficacia en la Planeación y Programación de inscritos a cursos y talleres de Desarrollo Cultural</t>
    </r>
    <r>
      <rPr>
        <i/>
        <sz val="10"/>
        <color indexed="30"/>
        <rFont val="Soberana Sans"/>
      </rPr>
      <t xml:space="preserve">
</t>
    </r>
  </si>
  <si>
    <t>(No. inscritos  a cursos y talleres de Desarrollo Cultural/Programado inscritos  a cursos y talleres de Desarrollo Cultural )*100</t>
  </si>
  <si>
    <t>A 2 Programar cursos y talleres de promoción a la salud</t>
  </si>
  <si>
    <r>
      <t>Eficacia en la Planeación y Programación de inscritos a cursos y talleres de Promoción a la Salud</t>
    </r>
    <r>
      <rPr>
        <i/>
        <sz val="10"/>
        <color indexed="30"/>
        <rFont val="Soberana Sans"/>
      </rPr>
      <t xml:space="preserve">
</t>
    </r>
  </si>
  <si>
    <t>(No. inscritos  a cursos y talleres de Promoción a la Salud/Programado de inscritos a cursos y talleres de Promoción a la Salud )*100</t>
  </si>
  <si>
    <t>A 3 Programar cursos y talleres de Cultura Física y Deporte</t>
  </si>
  <si>
    <r>
      <t>Eficacia en la Planeación y Programación de inscritos a cursos y talleres de Cultura Física y Deporte</t>
    </r>
    <r>
      <rPr>
        <i/>
        <sz val="10"/>
        <color indexed="30"/>
        <rFont val="Soberana Sans"/>
      </rPr>
      <t xml:space="preserve">
</t>
    </r>
  </si>
  <si>
    <t>(No. inscritos  a cursos y talleres Cultura Fisica y Deporte/Programado inscritos a cursos y talleres de Cultura Fisica y Deporte)*100</t>
  </si>
  <si>
    <t>A 4 Programar cursos y talleres de bienestar social</t>
  </si>
  <si>
    <r>
      <t>Eficacia en la Planeación y Programación de inscritos a cursos y talleres de Bienestar Social</t>
    </r>
    <r>
      <rPr>
        <i/>
        <sz val="10"/>
        <color indexed="30"/>
        <rFont val="Soberana Sans"/>
      </rPr>
      <t xml:space="preserve">
</t>
    </r>
  </si>
  <si>
    <t>(No. inscritos a cursos y talleres de Bienestar Social/Programado inscritos a cursos y talleres de Bienestar Social )*100</t>
  </si>
  <si>
    <t>A 5 Programar cursos y talleres de capacitación y adiestramiento técnico</t>
  </si>
  <si>
    <r>
      <t>Eficacia en la Planeación y Programación de inscritos a cursos y talleres de Capacitación y Adistramiento Técnico</t>
    </r>
    <r>
      <rPr>
        <i/>
        <sz val="10"/>
        <color indexed="30"/>
        <rFont val="Soberana Sans"/>
      </rPr>
      <t xml:space="preserve">
</t>
    </r>
  </si>
  <si>
    <t>(No. inscritos  a  cursos y talleres de Capacitación y Adistramiento Técnico/Programado inscritos a  cursos y talleres de Capacitación y Adistramiento Técnico )*100</t>
  </si>
  <si>
    <t>B 6 Supervisión de Velatorios</t>
  </si>
  <si>
    <r>
      <t>Porcentaje de cumplimiento  de visitas de supervisión para velatorios del IMSS</t>
    </r>
    <r>
      <rPr>
        <i/>
        <sz val="10"/>
        <color indexed="30"/>
        <rFont val="Soberana Sans"/>
      </rPr>
      <t xml:space="preserve">
</t>
    </r>
  </si>
  <si>
    <t>(Número de visitas de supervisión realizadas/Número de visitas de supervisión programadas)*100</t>
  </si>
  <si>
    <t>Visita</t>
  </si>
  <si>
    <t>Gestión-Eficacia-Cuatrimestral</t>
  </si>
  <si>
    <t>B 7 Promoción y difusión de servicios funerarios</t>
  </si>
  <si>
    <r>
      <t>Variación de pláticas de promoción y difusión de velatorios respecto al año inmediato anterior</t>
    </r>
    <r>
      <rPr>
        <i/>
        <sz val="10"/>
        <color indexed="30"/>
        <rFont val="Soberana Sans"/>
      </rPr>
      <t xml:space="preserve">
</t>
    </r>
  </si>
  <si>
    <t>(Número de pláticas de promoción y difusión de velatorios realizadas en el periodo t /Número  pláticas de promoción y difusión de velatorios realizadas en el periodo t-1 ) -1 ]* 100</t>
  </si>
  <si>
    <t>C 8 Promoción de servicios de los Centros Vacacionales IMSS</t>
  </si>
  <si>
    <r>
      <t>Porcentaje de personas usuarias que se enteraron de los servicios a través de la promoción y difusión de Centros Vacacionales en Internet</t>
    </r>
    <r>
      <rPr>
        <i/>
        <sz val="10"/>
        <color indexed="30"/>
        <rFont val="Soberana Sans"/>
      </rPr>
      <t xml:space="preserve">
</t>
    </r>
  </si>
  <si>
    <t xml:space="preserve">(Número de personas usuarias que reportaron enterarse del CV a través de Internet en la encuesta de salida/ Número total de personas que contestaron la encuesta al visitar los CV) *100 </t>
  </si>
  <si>
    <r>
      <t>Porcentaje de usuarios que utilizan algún descuento en las tarifas, respecto del total de usuarios registrados</t>
    </r>
    <r>
      <rPr>
        <i/>
        <sz val="10"/>
        <color indexed="30"/>
        <rFont val="Soberana Sans"/>
      </rPr>
      <t xml:space="preserve">
</t>
    </r>
  </si>
  <si>
    <t>(Número de usuarios que utilizan algún descuento en las tarifas de CV  / Número total de usuarios en los CV )*100</t>
  </si>
  <si>
    <t>Usuario</t>
  </si>
  <si>
    <r>
      <t xml:space="preserve">Proporción de personas con acceso a seguridad social que tienen acceso a servicios de salud por afiliación al IMSS.
</t>
    </r>
    <r>
      <rPr>
        <sz val="10"/>
        <rFont val="Soberana Sans"/>
        <family val="2"/>
      </rPr>
      <t>Sin Información,Sin Justificación</t>
    </r>
  </si>
  <si>
    <r>
      <t xml:space="preserve">Variación porcentual de satisfacción con la vida reportada por afiliados al IMSS respecto no afiliados al IMSS
</t>
    </r>
    <r>
      <rPr>
        <sz val="10"/>
        <rFont val="Soberana Sans"/>
        <family val="2"/>
      </rPr>
      <t>Sin Información,Sin Justificación</t>
    </r>
  </si>
  <si>
    <r>
      <t xml:space="preserve">Índice de prestaciones sociales (IPS)
</t>
    </r>
    <r>
      <rPr>
        <sz val="10"/>
        <rFont val="Soberana Sans"/>
        <family val="2"/>
      </rPr>
      <t xml:space="preserve"> Causa : Para el caso de velatorios, durante el ejercicio 2017 se observó que la satisfacción del usuario obtuvo el 97.10% de respuestas satisfactorias de los cuestionarios aplicados a los usuarios de los servicios de los Velatorios IMSS.     En el caso de los centros vacacionales, el indicador promedio sobre conservación mejoró para el caso de Oaxtepec, Trinidad y Malintzi. Sin embargo, el CV Atlixco-Metepec no reportó este indicador debido a los daños causados por el sismo y el cierre de espacios que provocó.    Respecto a bienestar social,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1,230,958 personas a nivel nacional, con una buena participación de la población derechohabiente, la cual alcanzó el 90% del total de inscritos programados para el ejercicio.  Efecto: Para los velatorios, el valor del indicador respecto al periodo de anterior,  se mantiene constante respecto del porcentaje obtenido en el ejercicio anterior. En el caso de los centros vacacionales el valor del indicador mejoró respecto a 2017 lo cual es resultados de las acciones de mejora llevadas a cabo en los CV.    Finalmente, respecto a bienestar social, en el área de Promoción de la Salud y a fin de contribuir a la formación de una cultura de salud, prevenir enfermedades y accidentes e incidir en la superación del nivel de vida, en cursos y talleres, se benefició a    319,646 personas, lo que representó el  93.33 % de la meta programada para el ejercicio. En Desarrollo Cultural, se impartieron cursos y talleres en las disciplinas de teatro, danza folclórica, danza creativa, ritmos afrolatinos y baile de salón, música instrumental y vocal, artes visuales y artesanías a  129,261  inscritos, lo que represento un avance del 89.16% de la meta programada.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596 mil 382 inscritos, se logró el 90.02% de la meta programada al cuarto trimestre del año.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185,669 inscritos en el periodo que representa el  85.26% de la meta programada.     Otros Motivos:Notar que los números se redondean a dos numerales. No obstante el numerador es de 279.55%</t>
    </r>
  </si>
  <si>
    <r>
      <t xml:space="preserve">Variación de usuarios de cursos y talleres de capacitación y adiestramiento, promoción de la salud, cultura y deporte y desarrollo cultural realizados respecto al periodo anterior
</t>
    </r>
    <r>
      <rPr>
        <sz val="10"/>
        <rFont val="Soberana Sans"/>
        <family val="2"/>
      </rPr>
      <t xml:space="preserve"> Causa : La población potencial no está demandando los servicios ofrecidos de los Centros de Seguridad Social y Unidades Deportivas en la cuantía esperada, sin embargo, las áreas involucradas  están reforzando los procesos  de la promoción y difusión de los programas y servicios de prestados. Como medidas correctivas, se indicará a autoridades delegacionales de Prestaciones Sociales y Directivos de UOPSI intensificar el proceso de supervisión de la aplicación del Programa de Atención Social a la Salud, cuya operación se sustenta en el ¿Procedimiento para la planeación, promoción, ejecución y seguimiento del Programa de Atención Social a la Salud (PASS) 3110-003-060¿ así como dar seguimiento puntual al comportamiento de los indicadores y tomar las medidas necesarias que aseguren su puntual cumplimiento.  Efecto: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1,230,958 personas a nivel nacional, con una buena participación de la población derechohabiente, la cual alcanzó el 90% del total de inscritos programados para el ejercicio.  En el área de Promoción de la Salud y a fin de contribuir a la formación de una cultura de salud, prevenir enfermedades y accidentes e incidir en la superación del nivel de vida, en cursos y talleres, se benefició a    319,646 personas, lo que representó el  93.33 % de la meta programada para el ejercicio.    En Desarrollo Cultural, se impartieron cursos y talleres en las disciplinas de teatro, danza folclórica, danza creativa, ritmos afrolatinos y baile de salón, música instrumental y vocal, artes visuales y artesanías a  129,261  inscritos, lo que represento un avance del 89.16% de la meta programada.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596 mil 382 inscritos, se logró el 90.02% de la meta programada al cuarto trimestre del año.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185,669 inscritos en el periodo que representa el  85.26% de la meta programada.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</si>
  <si>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Variación porcentual de servicios funerarios contratados respecto al mismo periodo del año anterior
</t>
    </r>
    <r>
      <rPr>
        <sz val="10"/>
        <rFont val="Soberana Sans"/>
        <family val="2"/>
      </rPr>
      <t xml:space="preserve"> Causa : Durante el periodo octubre - diciembre se observó disminución en la captación de servicios con respecto al mismo periodo del ejercicio anterior en un 5.71%, lo anterior debido a    - Falta de promotoría    - Incremento de competencia Efecto: El valor del indicador respecto al periodo de octubre a diciembre del presente ejercicio representa un porcentaje menor al programado. Otros Motivos:Durante el ejercicio 2018 se implementaron acciones respecto a la promoción y difusión de los servicios funerarios entre la población derechohabiente del IMSS y público en general, a través de la cobertura de plazas de promotores del FIBESO; sin embargo, la competencia aumento y no se logró obtener el total del incremento esperado.  Las metas fueron mal cargadas. Adicionalmente, cuando se cargan las metas no se cuenta con dato definitivo para el ultimo trimestre del año anterior al que se reporta, por lo que varía respecto al observado.</t>
    </r>
  </si>
  <si>
    <r>
      <t xml:space="preserve">Tasa de variación de los usuarios atendidos en los centros vacacionales que propician actividades de esparcimiento
</t>
    </r>
    <r>
      <rPr>
        <sz val="10"/>
        <rFont val="Soberana Sans"/>
        <family val="2"/>
      </rPr>
      <t xml:space="preserve"> Causa : La baja en los usuarios tiene un componente inercial que se ha observado durante varios años. Además, la competencia con otros sitios turísticos ha afectado la demanda por los servicios de los Centros Vacacionales.    Efecto: Se ha reducido la afluencia a los Centros Vacacionales. Con el objetivo de revertir la tendencia y aumentar el número de usuarios atendidos en los Centros Vacacionales, la CCVVUCT instrumentará una estrategia de difusión más intensiva, tanto en medio electrónicos como impresos, que contribuya a que derechohabientes y público en general conozcan las atractivas instalaciones de los Centros Vacacionales y la gama de descuentos disponibles. Asimismo, actualizará la normatividad sobre comercialización a fin de que ésta pueda ser más flexible a las temporadas del año con menos visitas y ello contribuya a elevar el número de visitantes. Otros Motivos:</t>
    </r>
  </si>
  <si>
    <r>
      <t xml:space="preserve">Eficacia en la Planeación y Programación de inscritos a cursos y talleres de Desarrollo Cultural
</t>
    </r>
    <r>
      <rPr>
        <sz val="10"/>
        <rFont val="Soberana Sans"/>
        <family val="2"/>
      </rPr>
      <t xml:space="preserve"> Causa : La población potencial no está demandando los servicios ofrecidos de los Centros de Seguridad Social y Unidades Deportivas en la cuantía esperada, sin embargo, las áreas involucradas  están reforzando los procesos  de la promoción y difusión de los programas y servicios de prestados. Como medidas correctivas, se indicará a autoridades delegacionales de Prestaciones Sociales y Directivos de UOPSI intensificar el proceso de supervisión de la aplicación del Programa de Atención Social a la Salud, cuya operación se sustenta en el ¿Procedimiento para la planeación, promoción, ejecución y seguimiento del Programa de Atención Social a la Salud (PASS) 3110-003-060¿ así como dar seguimiento puntual al comportamiento de los indicadores y tomar las medidas necesarias que aseguren su puntual cumplimiento.    Efecto: El avance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1,230,958 personas a nivel nacional, con una buena participación de la población derechohabiente, la cual alcanzó el 90% del total de inscritos programados para el ejercicio.       En Desarrollo Cultural, se impartieron cursos y talleres en las disciplinas de teatro, danza folclórica, danza creativa, ritmos afrolatinos y baile de salón, música instrumental y vocal, artes visuales y artesanías a  129,261  inscritos, lo que represento un avance del 89.16% de la meta programada.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</si>
  <si>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Eficacia en la Planeación y Programación de inscritos a cursos y talleres de Promoción a la Salud
</t>
    </r>
    <r>
      <rPr>
        <sz val="10"/>
        <rFont val="Soberana Sans"/>
        <family val="2"/>
      </rPr>
      <t xml:space="preserve"> Causa : La población potencial no está demandando los servicios ofrecidos de los Centros de Seguridad Social y Unidades Deportivas en la cuantía esperada, sin embargo, las áreas involucradas  están reforzando los procesos  de la promoción y difusión de los programas y servicios de prestados. Como medidas correctivas, se indicará a autoridades delegacionales de Prestaciones Sociales y Directivos de UOPSI intensificar el proceso de supervisión de la aplicación del Programa de Atención Social a la Salud, cuya operación se sustenta en el ¿Procedimiento para la planeación, promoción, ejecución y seguimiento del Programa de Atención Social a la Salud (PASS) 3110-003-060¿ así como dar seguimiento puntual al comportamiento de los indicadores y tomar las medidas necesarias que aseguren su puntual cumplimiento.    Efecto: El avance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1,230,958 personas a nivel nacional, con una buena participación de la población derechohabiente, la cual alcanzó el 90% del total de inscritos programados para el ejercicio.     En el área de Promoción de la Salud y a fin de contribuir a la formación de una cultura de salud, prevenir enfermedades y accidentes e incidir en la superación del nivel de vida, en cursos y talleres, se benefició a    319,646 personas, lo que representó el  93.33 % de la meta programada para el ejercicio.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</si>
  <si>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Eficacia en la Planeación y Programación de inscritos a cursos y talleres de Cultura Física y Deporte
</t>
    </r>
    <r>
      <rPr>
        <sz val="10"/>
        <rFont val="Soberana Sans"/>
        <family val="2"/>
      </rPr>
      <t xml:space="preserve"> Causa : La población potencial no está demandando los servicios ofrecidos de los Centros de Seguridad Social y Unidades Deportivas en la cuantía esperada, sin embargo, las áreas involucradas  están reforzando los procesos  de la promoción y difusión de los programas y servicios de prestados. Como medidas correctivas, se indicará a autoridades delegacionales de Prestaciones Sociales y Directivos de UOPSI intensificar el proceso de supervisión de la aplicación del Programa de Atención Social a la Salud, cuya operación se sustenta en el ¿Procedimiento para la planeación, promoción, ejecución y seguimiento del Programa de Atención Social a la Salud (PASS) 3110-003-060¿ así como dar seguimiento puntual al comportamiento de los indicadores y tomar las medidas necesarias que aseguren su puntual cumplimiento.  Efecto: El avance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1,230,958 personas a nivel nacional, con una buena participación de la población derechohabiente, la cual alcanzó el 90% del total de inscritos programados para el ejercicio.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596 mil 382 inscritos, se logró el 90.02% de la meta programada al cuarto trimestre del año.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</si>
  <si>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Eficacia en la Planeación y Programación de inscritos a cursos y talleres de Bienestar Social
</t>
    </r>
    <r>
      <rPr>
        <sz val="10"/>
        <rFont val="Soberana Sans"/>
        <family val="2"/>
      </rPr>
      <t xml:space="preserve"> Causa : La población potencial no está demandando los servicios ofrecidos de los Centros de Seguridad Social y Unidades Deportivas en la cuantía esperada, sin embargo, las áreas involucradas  están reforzando los procesos  de la promoción y difusión de los programas y servicios de prestados. Como medidas correctivas, se indicará a autoridades delegacionales de Prestaciones Sociales y Directivos de UOPSI intensificar el proceso de supervisión de la aplicación del Programa de Atención Social a la Salud, cuya operación se sustenta en el ¿Procedimiento para la planeación, promoción, ejecución y seguimiento del Programa de Atención Social a la Salud (PASS) 3110-003-060¿ así como dar seguimiento puntual al comportamiento de los indicadores y tomar las medidas necesarias que aseguren su puntual cumplimiento.  Efecto: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1,230,958 personas a nivel nacional, con una buena participación de la población derechohabiente, la cual alcanzó el 90% del total de inscritos programados para el ejercicio.   En el área de Promoción de la Salud y a fin de contribuir a la formación de una cultura de salud, prevenir enfermedades y accidentes e incidir en la superación del nivel de vida, en cursos y talleres, se benefició a    319,646 personas, lo que representó el  93.33 % de la meta programada para el ejercicio.    En Desarrollo Cultural, se impartieron cursos y talleres en las disciplinas de teatro, danza folclórica, danza creativa, ritmos afrolatinos y baile de salón, música instrumental y vocal, artes visuales y artesanías a  129,261  inscritos, lo que represento un avance del 89.16% de la meta programada.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596 mil 382 inscritos, se logró el 90.02% de la meta programada al cuarto trimestre del año.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185,669 inscritos en el periodo que representa el  85.26% de la meta programada.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</si>
  <si>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Eficacia en la Planeación y Programación de inscritos a cursos y talleres de Capacitación y Adistramiento Técnico
</t>
    </r>
    <r>
      <rPr>
        <sz val="10"/>
        <rFont val="Soberana Sans"/>
        <family val="2"/>
      </rPr>
      <t xml:space="preserve"> Causa : La población potencial no está demandando los servicios ofrecidos de los Centros de Seguridad Social y Unidades Deportivas en la cuantía esperada, sin embargo, las áreas involucradas  están reforzando los procesos  de la promoción y difusión de los programas y servicios de prestados. Como medidas correctivas, se indicará a autoridades delegacionales de Prestaciones Sociales y Directivos de UOPSI intensificar el proceso de supervisión de la aplicación del Programa de Atención Social a la Salud, cuya operación se sustenta en el ¿Procedimiento para la planeación, promoción, ejecución y seguimiento del Programa de Atención Social a la Salud (PASS) 3110-003-060¿ así como dar seguimiento puntual al comportamiento de los indicadores y tomar las medidas necesarias que aseguren su puntual cumplimiento.    Efecto: El avance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1,230,958 personas a nivel nacional, con una buena participación de la población derechohabiente, la cual alcanzó el 90% del total de inscritos programados para el ejercicio.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185,669 inscritos en el periodo que representa el  85.26% de la meta programada.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</si>
  <si>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Porcentaje de cumplimiento  de visitas de supervisión para velatorios del IMSS
</t>
    </r>
    <r>
      <rPr>
        <sz val="10"/>
        <rFont val="Soberana Sans"/>
        <family val="2"/>
      </rPr>
      <t xml:space="preserve"> Causa :  Se llevó a cabo puntual seguimiento a fin de lograr el cumplimiento de lo programado. Efecto: Durante el ejercicio, las Delegaciones realizaron el 100% de supervisiones programadas a los Velatorios IMSS respecto a la meta establecida. Otros Motivos:</t>
    </r>
  </si>
  <si>
    <r>
      <t xml:space="preserve">Variación de pláticas de promoción y difusión de velatorios respecto al año inmediato anterior
</t>
    </r>
    <r>
      <rPr>
        <sz val="10"/>
        <rFont val="Soberana Sans"/>
        <family val="2"/>
      </rPr>
      <t xml:space="preserve"> Causa : Durante el periodo de octubre-diciembre del presente ejercicio, los Velatorios IMSS incrementaron el número de pláticas respecto al ejercicio anterior, toda vez que los Velatorios de  Guadalajara, Pachuca, Ecatepec y Tampico realizaron mayor número de pláticas de promoción y difusión de los servicios funerarios, con respecto a las programadas. Asimismo, con la apertura del Velatorio Villahermosa, se incrementó el número de pláticas informativas. Efecto: Se incrementó el número de pláticas de difusión de los servicios funerarios, toda vez que el personal operativo de los Velatorios en los que no se cuenta con promotores, realizó pláticas logrando una mayor difusión entre la población usuaria en unidades médicas de los servicios que ofrecen los Velatorios IMSS.  Otros Motivos:Las metas fueron cargadas mal por quien fuese la responsable.</t>
    </r>
  </si>
  <si>
    <r>
      <t xml:space="preserve">Porcentaje de personas usuarias que se enteraron de los servicios a través de la promoción y difusión de Centros Vacacionales en Internet
</t>
    </r>
    <r>
      <rPr>
        <sz val="10"/>
        <rFont val="Soberana Sans"/>
        <family val="2"/>
      </rPr>
      <t xml:space="preserve"> Causa : La mayor parte de los usuarios siguen acercándose a los Centros Vacacionales por teléfono y visitándolos directamente.  Efecto: Existe  un área de oportunidad en las tareas de difusión en Internet, lo cual está integrado en la nueva estrategia de difusión que impulsará la CCVVUCT para atraer a más visitantes valiéndose de las redes sociales y la difusión en medios electrónicos. Otros Motivos:</t>
    </r>
  </si>
  <si>
    <r>
      <t xml:space="preserve">Porcentaje de usuarios que utilizan algún descuento en las tarifas, respecto del total de usuarios registrados
</t>
    </r>
    <r>
      <rPr>
        <sz val="10"/>
        <rFont val="Soberana Sans"/>
        <family val="2"/>
      </rPr>
      <t xml:space="preserve"> Causa : El número de personas que solicitaron algún descuentos ha aumentado durante el año, lo cual muestra que la difusión de promociones especiales ha tenido relativo éxito. Efecto: Se alcanzó la meta, no obstante, es necesario fortalecer la estrategia de difusión a fin de atraer más usuarios para los Centros Vacacionales, incluidos los visitantes que pueden acceder a algún tipo de descuento y con ello contribuir a mejorar el bienestar de la población derechohabiente y del público en general. Otros Motivos:</t>
    </r>
  </si>
  <si>
    <t>J001</t>
  </si>
  <si>
    <t>Pensiones en curso de pago Ley 1973</t>
  </si>
  <si>
    <t>2 - Edad Avanzada</t>
  </si>
  <si>
    <t>7 - Oportunidad en el pago de las prestaciones económicas</t>
  </si>
  <si>
    <t>Contribuir a fomentar la inclusión, educación, competencia y transparencia de los sistemas financiero, asegurador y de pensiones para incrementar su penetración y cobertura, a la vez que mantengan su solidez y seguridad mediante una mayor cobertura hacia la población derechohabiente con el otorgamiento de una pensión, que garantice un nivel de vida digno para la población mexicana.</t>
  </si>
  <si>
    <r>
      <t>Proporción de Población derechohabiente beneficiada con el otorgamiento de pensión.</t>
    </r>
    <r>
      <rPr>
        <i/>
        <sz val="10"/>
        <color indexed="30"/>
        <rFont val="Soberana Sans"/>
      </rPr>
      <t xml:space="preserve">
</t>
    </r>
  </si>
  <si>
    <t>(Pensionados Totales del régimen 73 y 97 / ( Población derechohabiente familiar de trabajadores asegurados + Población derechohabiente familiar de pensionados y jubilados + Asegurados con derecho a pensión)) * 100</t>
  </si>
  <si>
    <r>
      <t>Ahorro financiero interno</t>
    </r>
    <r>
      <rPr>
        <i/>
        <sz val="10"/>
        <color indexed="30"/>
        <rFont val="Soberana Sans"/>
      </rPr>
      <t xml:space="preserve">
Indicador Seleccionado</t>
    </r>
  </si>
  <si>
    <t>El saldo de los activos financieros en manos de personas físicas y morales (tanto residentes como extranjeros) que son intermediados a través de entidades financieras reguladas en México, y que sirve para otorgar financiamiento al sector privado, al sector público o al sector externo</t>
  </si>
  <si>
    <t>Porcentaje del PIB</t>
  </si>
  <si>
    <t>Pensionados que cobran bajo el esquema de acreditamiento en cuenta bancaria disponen de su pensión desde el día primero de cada mes</t>
  </si>
  <si>
    <r>
      <t>Porcentaje de efectividad en los depósitos bancarios para la nómina de pensionados que cobran por acreditamiento en cuenta bancaria</t>
    </r>
    <r>
      <rPr>
        <i/>
        <sz val="10"/>
        <color indexed="30"/>
        <rFont val="Soberana Sans"/>
      </rPr>
      <t xml:space="preserve">
</t>
    </r>
  </si>
  <si>
    <t>((Total de volantes de las pensiones enviados para pago - Volantes rechazados por errores en cuenta) / Total de volantes de las pensiones enviados para pago) * 100</t>
  </si>
  <si>
    <t>A Pensiones tramitadas dentro del tiempo establecido por el H. Consejo Técnico</t>
  </si>
  <si>
    <r>
      <t>Porcentaje de trámites atendidos oportunamente de las pensiones nuevas</t>
    </r>
    <r>
      <rPr>
        <i/>
        <sz val="10"/>
        <color indexed="30"/>
        <rFont val="Soberana Sans"/>
      </rPr>
      <t xml:space="preserve">
</t>
    </r>
  </si>
  <si>
    <t>(Casos tramitados en 12 días naturales / Casos tramitados) X 100</t>
  </si>
  <si>
    <t>A 1 Dictaminación de solicitudes de pensión</t>
  </si>
  <si>
    <r>
      <t>Porcentaje de solicitudes de pensión concluidas.</t>
    </r>
    <r>
      <rPr>
        <i/>
        <sz val="10"/>
        <color indexed="30"/>
        <rFont val="Soberana Sans"/>
      </rPr>
      <t xml:space="preserve">
</t>
    </r>
  </si>
  <si>
    <t>(Solicitudes de pensión atendidas / Total de solicitudes de pensión registradas ) * 100</t>
  </si>
  <si>
    <r>
      <t xml:space="preserve">Proporción de Población derechohabiente beneficiada con el otorgamiento de pensión.
</t>
    </r>
    <r>
      <rPr>
        <sz val="10"/>
        <rFont val="Soberana Sans"/>
        <family val="2"/>
      </rPr>
      <t xml:space="preserve"> Causa : La Causa de que el indicador superara la meta en 5% es que la población beneficiada con el otorgamiento de una pensión creció más que la población derechohabiente con derecho a pensión.  Por otro lado, es el Artículo 2 de la Ley del seguro social vigente que establece, dentro de su regimen obligatorio, lo siguiente:  "La seguridad social tiene por finalidad garantizar el derecho a la salud, la asistencia médica, la protección de los medios de subsistencia y los servicios sociales necesarios para el bienestar individual y colectivo, así como el otorgamiento de una pensión que, en su caso y previo cumplimiento de los requisitos legales, será garantizada por el Estado."  Razón por lo que se tiene que otorgar la pensión a quien lo solicite y cumpla con los requisitos. Efecto: "Con la meta alcanzada de 7.25 ha propiciado que un mayor número de personas sean beneficiadas con el otorgamiento de una pensión respecto al total de población derechohabiente.     Siendo la población pensionada mayor de 60 años, por cesantía en edad avanzada y vejez, la que tiene mayor representación para efectos positivos en el desempeño del indicador".   Otros Motivos:</t>
    </r>
  </si>
  <si>
    <r>
      <t xml:space="preserve">Ahorro financiero interno
</t>
    </r>
    <r>
      <rPr>
        <sz val="10"/>
        <rFont val="Soberana Sans"/>
        <family val="2"/>
      </rPr>
      <t>Sin Información,Sin Justificación</t>
    </r>
  </si>
  <si>
    <r>
      <t xml:space="preserve">Porcentaje de efectividad en los depósitos bancarios para la nómina de pensionados que cobran por acreditamiento en cuenta bancaria
</t>
    </r>
    <r>
      <rPr>
        <sz val="10"/>
        <rFont val="Soberana Sans"/>
        <family val="2"/>
      </rPr>
      <t xml:space="preserve"> Causa : El resultado del indicador se ubica en 99.71. Con un nivel de cumplimiento del 100.7.   Efecto: "Con la meta alcanzada de 99.71 los pensionados que cobran por acreditamiento en cuenta bancaria disponen de sus recursos manera efectiva, segura y oportuna.    Adicionalmente se busca que la otra parte de los pensionados, a su elección, cobren también su pensión a través de el mismo medio de acreditamiento en cuenta bancaria".   Otros Motivos:</t>
    </r>
  </si>
  <si>
    <r>
      <t xml:space="preserve">Porcentaje de trámites atendidos oportunamente de las pensiones nuevas
</t>
    </r>
    <r>
      <rPr>
        <sz val="10"/>
        <rFont val="Soberana Sans"/>
        <family val="2"/>
      </rPr>
      <t xml:space="preserve"> Causa : La CPE informa  a la DPPyED que para mejorar el desempeño, en los últimos años se ha dado seguimiento a los casos tramitados en más de 12 días naturales  a través de un boletín informativo, el cual ha sido difundido en las delegaciones administrativas.  Dicha acción ha permitido que las delegaciones tomen las medidas pertinentes para agilizar el proceso en el trámite de la pensión.  Efecto: En segundo semestre 2018 la meta real alcanzada se ubicó en 98.45   Otros Motivos:</t>
    </r>
  </si>
  <si>
    <r>
      <t xml:space="preserve">Porcentaje de solicitudes de pensión concluidas.
</t>
    </r>
    <r>
      <rPr>
        <sz val="10"/>
        <rFont val="Soberana Sans"/>
        <family val="2"/>
      </rPr>
      <t xml:space="preserve"> Causa : "Se captura información con el comportamiento de las metas reales". Efecto: En diciembre 2018 la meta real alcanzada se ubicó en 98.10   Otros Motivos:</t>
    </r>
  </si>
  <si>
    <t>J002</t>
  </si>
  <si>
    <t>Rentas vitalicias Ley 1997</t>
  </si>
  <si>
    <r>
      <t>Proporción de Población derechohabiente beneficiada con el otorgamiento de pensión</t>
    </r>
    <r>
      <rPr>
        <i/>
        <sz val="10"/>
        <color indexed="30"/>
        <rFont val="Soberana Sans"/>
      </rPr>
      <t xml:space="preserve">
</t>
    </r>
  </si>
  <si>
    <t>(Pensionados Totales del régimen 73 y 97 / ( Población derechohabiente familiar de trabajadores asegurados + Población derechohabiente familiar de pensionados y jubilados + Asegurados con derecho a pensión)) * 100.</t>
  </si>
  <si>
    <t>Los pensionados que eligieron Ley del Seguro Social 1997 reciben oportunamente el envío de sus Rentas Vitalicias</t>
  </si>
  <si>
    <r>
      <t>Porcentaje de traspaso oportuno a las aseguradoras de las Sumas Aseguradas para pago de pensiones Ley 97</t>
    </r>
    <r>
      <rPr>
        <i/>
        <sz val="10"/>
        <color indexed="30"/>
        <rFont val="Soberana Sans"/>
      </rPr>
      <t xml:space="preserve">
</t>
    </r>
  </si>
  <si>
    <t>(Casos enviados a las aseguradoras al día hábil siguiente de su recepción / Total de casos recibidos para envió a las aseguradoras) * 100</t>
  </si>
  <si>
    <t>A Rentas vitalicias de la Ley del Seguro Social 1997 tramitadas oportunamente</t>
  </si>
  <si>
    <r>
      <t>Porcentaje de rentas vitalicias que se tramitan oportunamente.</t>
    </r>
    <r>
      <rPr>
        <i/>
        <sz val="10"/>
        <color indexed="30"/>
        <rFont val="Soberana Sans"/>
      </rPr>
      <t xml:space="preserve">
</t>
    </r>
  </si>
  <si>
    <t>A 1 Recepción y verificación de solicitudes de pensión para su trámite.</t>
  </si>
  <si>
    <r>
      <t xml:space="preserve">Proporción de Población derechohabiente beneficiada con el otorgamiento de pensión
</t>
    </r>
    <r>
      <rPr>
        <sz val="10"/>
        <rFont val="Soberana Sans"/>
        <family val="2"/>
      </rPr>
      <t xml:space="preserve"> Causa : La Causa de que el indicador superara la meta en 5% es que la población beneficiada con el otorgamiento de una pensión creció más que la población derechohabiente con derecho a pensión.    Por otro lado, es el Artículo 2 de la Ley del seguro social vigente que establece, dentro de su régimen obligatorio, lo siguiente:  "La seguridad social tiene por finalidad garantizar el derecho a la salud, la asistencia médica, la protección de los medios de subsistencia y los servicios sociales necesarios para el bienestar individual y colectivo, así como el otorgamiento de una pensión que, en su caso y previo cumplimiento de los requisitos legales, será garantizada por el Estado.   Razón por lo que se tiene que otorgar la pensión a quien lo solicite y cumpla con los requisitos. Efecto: Con la meta alcanzada de 7.25 ha propiciado que un mayor número de personas sean beneficiadas con el otorgamiento de una pensión respecto al total de población derechohabiente.     Siendo la población pensionada mayor de 60 años, por cesantía en edad avanzada y vejez, la que tiene mayor representación para efectos positivos en el desempeño del indicador. Otros Motivos:</t>
    </r>
  </si>
  <si>
    <r>
      <t xml:space="preserve">Porcentaje de traspaso oportuno a las aseguradoras de las Sumas Aseguradas para pago de pensiones Ley 97
</t>
    </r>
    <r>
      <rPr>
        <sz val="10"/>
        <rFont val="Soberana Sans"/>
        <family val="2"/>
      </rPr>
      <t xml:space="preserve"> Causa : El resultado del indicador es favorable debido a que todas las resoluciones recibidas fueron enviadas para pago, con un porcentaje de cumplimiento del 101 respecto a la meta original.    Efecto: Con la meta alcanzada del 100, el IMSS envía los recursos oportunamente, a través de un Monto Constitutivo, a la compañía aseguradora elegida por el pensionado para el pago periódico de su pensión.   Otros Motivos:</t>
    </r>
  </si>
  <si>
    <r>
      <t xml:space="preserve">Porcentaje de rentas vitalicias que se tramitan oportunamente.
</t>
    </r>
    <r>
      <rPr>
        <sz val="10"/>
        <rFont val="Soberana Sans"/>
        <family val="2"/>
      </rPr>
      <t xml:space="preserve"> Causa : La CPE informa  a la DPPyED que para mejorar el desempeño, en los últimos años se ha dado seguimiento a los casos tramitados en más de 12 días naturales  a través de un boletín informativo, el cual ha sido difundido en las delegaciones administrativas.  Dicha acción ha permitido que las delegaciones tomen las medidas pertinentes para agilizar el proceso en el trámite de la pensión. Efecto: En segundo semestre 2018 la meta real alcanzada se ubicó en 98.38   Otros Motivos:</t>
    </r>
  </si>
  <si>
    <t>J004</t>
  </si>
  <si>
    <t>Pago de subsidios a los asegurados</t>
  </si>
  <si>
    <t>1 - Enfermedad e incapacidad</t>
  </si>
  <si>
    <t>Contribuir a fomentar la inclusión, educación, competencia y transparencia de los sistemas financiero, asegurador y de pensiones para incrementar su penetración y cobertura, a la vez que mantengan su solidez y seguridad. mediante la disponibilidad del pago de subsidio a través de los recursos transferidos a las instituciones bancarias.</t>
  </si>
  <si>
    <r>
      <t>Financiamiento interno al sector privado</t>
    </r>
    <r>
      <rPr>
        <i/>
        <sz val="10"/>
        <color indexed="30"/>
        <rFont val="Soberana Sans"/>
      </rPr>
      <t xml:space="preserve">
Indicador Seleccionado</t>
    </r>
  </si>
  <si>
    <t>Incluye el financiamiento a la actividad empresarial, consumo y vivienda, canalizado por la banca comercial, banca de desarrollo, mercado de deuda y capitales, INFONAVIT, FOVISSSTE, FONACOT, Sofoles (hasta julio de 2013), Sofomes Reguladas y Sofomes No Reguladas que emiten deuda en el mercado de valores, entidades de ahorro y crédito popular, uniones de crédito, organizaciones auxiliares del crédito y Financiera Rural</t>
  </si>
  <si>
    <r>
      <t>Proporción de la población asegurada beneficiada con un ingreso por concepto de pago de subsidio por Incapacidad</t>
    </r>
    <r>
      <rPr>
        <i/>
        <sz val="10"/>
        <color indexed="30"/>
        <rFont val="Soberana Sans"/>
      </rPr>
      <t xml:space="preserve">
</t>
    </r>
  </si>
  <si>
    <t>(Certificados Iniciales del periodo / la Poblacion Asegurada con derecho a Subsidio) * 100</t>
  </si>
  <si>
    <t>Los asegurados disponen del pago de subsidio a través de los recursos transferidos a las instituciones bancarias.</t>
  </si>
  <si>
    <r>
      <t>Porcentaje de casos dispuestos en ventanilla de la institución bancaría para cobro del subsidio por el asegurado en un plazo máximo de 3 días.</t>
    </r>
    <r>
      <rPr>
        <i/>
        <sz val="10"/>
        <color indexed="30"/>
        <rFont val="Soberana Sans"/>
      </rPr>
      <t xml:space="preserve">
</t>
    </r>
  </si>
  <si>
    <t>Total de incapacidades enviadas a ventanilla con un plazo de máximo de 3 día / Total de incapacidades autorizadas en el mes X 100</t>
  </si>
  <si>
    <t>A Incapacidades nominativas tramitadas dentro del tiempo oportuno.</t>
  </si>
  <si>
    <r>
      <t xml:space="preserve">Proporción de casos tramitados oportunos de las incapacidades nominativas con pago  </t>
    </r>
    <r>
      <rPr>
        <i/>
        <sz val="10"/>
        <color indexed="30"/>
        <rFont val="Soberana Sans"/>
      </rPr>
      <t xml:space="preserve">
</t>
    </r>
  </si>
  <si>
    <t>(Casos nominativos tramitados en términos de 7 días naturales / Total de casos nominativos) X 100</t>
  </si>
  <si>
    <t>A 1 Recepción y captura de incapacidades con derecho a subsidio que se reciben para su pago.</t>
  </si>
  <si>
    <r>
      <t>Total de Certificados de Incapacidad subsidiados.</t>
    </r>
    <r>
      <rPr>
        <i/>
        <sz val="10"/>
        <color indexed="30"/>
        <rFont val="Soberana Sans"/>
      </rPr>
      <t xml:space="preserve">
</t>
    </r>
  </si>
  <si>
    <t>Suma (Certificados subsidiados totales)</t>
  </si>
  <si>
    <t>Certificados subsidiados</t>
  </si>
  <si>
    <t>Gestión-Eficiencia-Mensual</t>
  </si>
  <si>
    <r>
      <t xml:space="preserve">Financiamiento interno al sector privado
</t>
    </r>
    <r>
      <rPr>
        <sz val="10"/>
        <rFont val="Soberana Sans"/>
        <family val="2"/>
      </rPr>
      <t>Sin Información,Sin Justificación</t>
    </r>
  </si>
  <si>
    <r>
      <t xml:space="preserve">Proporción de la población asegurada beneficiada con un ingreso por concepto de pago de subsidio por Incapacidad
</t>
    </r>
    <r>
      <rPr>
        <sz val="10"/>
        <rFont val="Soberana Sans"/>
        <family val="2"/>
      </rPr>
      <t xml:space="preserve"> Causa : La Causa de que la meta real sea de 0.80 y con un nivel de cumplimiento de 99.2% es debido a que la población asegurada creció en mayor medida que los accidentes laborales, enfermedades generales y/o maternidad a los que está expuesta la población.  Por otra parte, el Artículo 2 de la Ley del seguro social vigente que establece, dentro de su régimen obligatorio, lo siguiente:  "La seguridad social tiene por finalidad garantizar el derecho a la salud, la asistencia médica, la protección de los medios de subsistencia y los servicios sociales necesarios para el bienestar individual y colectivo, así como el otorgamiento de una pensión que, en su caso y previo cumplimiento de los requisitos legales, será garantizada por el Estado."  Razón por lo que se tiene que otorgar el pago del subsidio al asegurado a causa de un accidente profecional, enfermedad general y/o maternidad, siempre y cuando cumpla con los requisitos establecidos en la Ley. Efecto: El indicador está relacionado al programa de seguimiento y control de las Incapacidad Temporales para el trabajo (ITT´s). Menos la población incapacitada en relación al número de asegurados Otros Motivos:</t>
    </r>
  </si>
  <si>
    <r>
      <t xml:space="preserve">Porcentaje de casos dispuestos en ventanilla de la institución bancaría para cobro del subsidio por el asegurado en un plazo máximo de 3 días.
</t>
    </r>
    <r>
      <rPr>
        <sz val="10"/>
        <rFont val="Soberana Sans"/>
        <family val="2"/>
      </rPr>
      <t xml:space="preserve"> Causa : La  meta alcanzada fue del 98.78 con un porcentaje de cumplimiento  del 102.9, es debido a que una mayor proporción de asegurados pueden disponer de sus recursos por concepto incapacidad temporal para el trabajo en 3 días o menos. Efecto: Se informa que este indicador tiene el programa asociado de "Seguimiento a las Incapacidades Temporales para el Trabajo" para dar un seguimiento puntual a estas.     Otros Motivos:</t>
    </r>
  </si>
  <si>
    <r>
      <t xml:space="preserve">Proporción de casos tramitados oportunos de las incapacidades nominativas con pago  
</t>
    </r>
    <r>
      <rPr>
        <sz val="10"/>
        <rFont val="Soberana Sans"/>
        <family val="2"/>
      </rPr>
      <t xml:space="preserve"> Causa : Se captura información con el comportamiento de las metas reales. Efecto: La  meta alcanzada fue del 99.53, con un porcentaje de cumplimiento  del 100.53   Otros Motivos:</t>
    </r>
  </si>
  <si>
    <r>
      <t xml:space="preserve">Total de Certificados de Incapacidad subsidiados.
</t>
    </r>
    <r>
      <rPr>
        <sz val="10"/>
        <rFont val="Soberana Sans"/>
        <family val="2"/>
      </rPr>
      <t xml:space="preserve"> Causa : La Causa de que el indicador superara la meta en 3.4% es que la población beneficiada con el otorgamiento de una Incapacidad Temporal para el Trabajo creció más que la población asegurada con derecho a pago.  Por otro lado, es el Artículo 2 de la Ley del seguro social vigente que establece, dentro de su régimen obligatorio, lo siguiente:  "La seguridad social tiene por finalidad garantizar el derecho a la salud, la asistencia médica, la protección de los medios de subsistencia y los servicios sociales necesarios para el bienestar individual y colectivo, así como el otorgamiento de una pensión que, en su caso y previo cumplimiento de los requisitos legales, será garantizada por el Estado."  Razón por lo que se tiene que otorgar la incapacidad temporal para el trabajo al asegurado. Efecto: Al mes de diciembre la meta real se ubicó en 5,938,659  incapacidades, un mayor número de casos tuvieron derecho a pago de subsidio.   Otros Motivos:Se informa que este indicador tiene el programa asociado de Seguimiento a las Incapacidades Temporales para el Trabajo para dar un seguimiento puntual a estas.   </t>
    </r>
  </si>
  <si>
    <t>K012</t>
  </si>
  <si>
    <t>Proyectos de infraestructura social de asistencia y seguridad social</t>
  </si>
  <si>
    <t>Contribuir a asegurar la generación y el uso efectivo de los recursos en salud mediante la planeación y uso efectivo de los recursos de infraestructura y equipamiento.</t>
  </si>
  <si>
    <r>
      <t>Metros cuadrados de construcción</t>
    </r>
    <r>
      <rPr>
        <i/>
        <sz val="10"/>
        <color indexed="30"/>
        <rFont val="Soberana Sans"/>
      </rPr>
      <t xml:space="preserve">
</t>
    </r>
  </si>
  <si>
    <t>Suma de los metros cuadrados construidos</t>
  </si>
  <si>
    <t>Metro cuadrado</t>
  </si>
  <si>
    <r>
      <t>Porcentaje de gasto público en salud destinado a la provisión de atención médica y salud pública extramuros</t>
    </r>
    <r>
      <rPr>
        <i/>
        <sz val="10"/>
        <color indexed="30"/>
        <rFont val="Soberana Sans"/>
      </rPr>
      <t xml:space="preserve">
Indicador Seleccionado</t>
    </r>
  </si>
  <si>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</si>
  <si>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La población objetivo es beneficiada con el incremento proporcional de infraestructura médica</t>
  </si>
  <si>
    <r>
      <t>Tasa de variación de incremento de metros cuadrados construidos</t>
    </r>
    <r>
      <rPr>
        <i/>
        <sz val="10"/>
        <color indexed="30"/>
        <rFont val="Soberana Sans"/>
      </rPr>
      <t xml:space="preserve">
</t>
    </r>
  </si>
  <si>
    <t>{Metros cuadrados construidos 2016 / [Suma metros cuadrados construidos período (2010 a 2015)]}*100</t>
  </si>
  <si>
    <t>A Infraestructura terminada.</t>
  </si>
  <si>
    <r>
      <t>Porcentaje de obras terminadas</t>
    </r>
    <r>
      <rPr>
        <i/>
        <sz val="10"/>
        <color indexed="30"/>
        <rFont val="Soberana Sans"/>
      </rPr>
      <t xml:space="preserve">
</t>
    </r>
  </si>
  <si>
    <t>(Obras entregadas / obras autorizadas) * 100</t>
  </si>
  <si>
    <t>A 1 Planeación, diseño, construcción de la infraestructura.</t>
  </si>
  <si>
    <r>
      <t>Porcentaje de avance de Obras</t>
    </r>
    <r>
      <rPr>
        <i/>
        <sz val="10"/>
        <color indexed="30"/>
        <rFont val="Soberana Sans"/>
      </rPr>
      <t xml:space="preserve">
</t>
    </r>
  </si>
  <si>
    <t>(Porcentaje realizado / porcentaje programado) * 100</t>
  </si>
  <si>
    <r>
      <t xml:space="preserve">Metros cuadrados de construcción
</t>
    </r>
    <r>
      <rPr>
        <sz val="10"/>
        <rFont val="Soberana Sans"/>
        <family val="2"/>
      </rPr>
      <t xml:space="preserve"> Causa : Se cumplió con la meta esperada. Se debe a que la mayor parte de los proyectos de inversión considerados se realizaron bajo la modalidad de Proyecto Integral, lo que deriva en que se desarrolla el proyecto ejecutivo a la par de la construcción del inmueble, lo que repercute en la adecuación conforme a las necesidades de las áreas para su optimización funcional.  Se formalizaron convenios de ampliación al plazo para evitar rescisión de contrato.  Solo se comprometió el recurso programado a ejercer en el 2018, conforme a las disposiciones específicas para el cierre del ejercicio presupuestarios de 2018, emitidas por la Unidad de Política y Control Presupuestal de la Subsecretaría de Egresos de la SHCP, mediante Oficio No. 307-A-1892 del 29 de junio de 2018. Efecto: Se cumplió con la meta esperada Otros Motivos:Se actualizaron alcances de obra, en áreas de construcción.</t>
    </r>
  </si>
  <si>
    <r>
      <t xml:space="preserve">Porcentaje de gasto público en salud destinado a la provisión de atención médica y salud pública extramuros
</t>
    </r>
    <r>
      <rPr>
        <sz val="10"/>
        <rFont val="Soberana Sans"/>
        <family val="2"/>
      </rPr>
      <t>Sin Información,Sin Justificación</t>
    </r>
  </si>
  <si>
    <r>
      <t xml:space="preserve">Tasa de variación de incremento de metros cuadrados construidos
</t>
    </r>
    <r>
      <rPr>
        <sz val="10"/>
        <rFont val="Soberana Sans"/>
        <family val="2"/>
      </rPr>
      <t xml:space="preserve"> Causa : Actualización de alcances de obra en áreas construidas. Se debe a que la mayor parte de los proyectos de inversión considerados se realizaron bajo la modalidad de Proyecto Integral, lo que deriva en que se desarrolla el proyecto ejecutivo a la par de la construcción del inmueble, lo que repercute en la adecuación conforme a las necesidades de las áreas para su optimización funcional.  Se formalizaron convenios de ampliación al plazo para evitar rescisión de contrato.  Solo se comprometió el recurso programado a ejercer en el 2018, conforme a las disposiciones específicas para el cierre del ejercicio presupuestarios de 2018, emitidas por la Unidad de Política y Control Presupuestal de la Subsecretaría de Egresos de la SHCP, mediante Oficio No. 307-A-1892 del 29 de junio de 2018. Efecto: Se supera la meta programada.  Otros Motivos:</t>
    </r>
  </si>
  <si>
    <r>
      <t xml:space="preserve">Porcentaje de obras terminadas
</t>
    </r>
    <r>
      <rPr>
        <sz val="10"/>
        <rFont val="Soberana Sans"/>
        <family val="2"/>
      </rPr>
      <t xml:space="preserve"> Causa : Se cumplió con la meta esperad, debido a que la mayor parte de los proyectos de inversión son plurianuales y el porcentaje programado de éstos para 2018, se logró. Efecto: Se cumplió con la meta esperada Otros Motivos:</t>
    </r>
  </si>
  <si>
    <r>
      <t xml:space="preserve">Porcentaje de avance de Obras
</t>
    </r>
    <r>
      <rPr>
        <sz val="10"/>
        <rFont val="Soberana Sans"/>
        <family val="2"/>
      </rPr>
      <t xml:space="preserve"> Causa : Se cumplió con la meta programada, debido a que la mayor parte de los proyectos de inversión son plurianuales y el porcentaje programado de éstos para 2018, se logró.  Efecto: Se cumplió con la meta programada Otros Motivos:</t>
    </r>
  </si>
  <si>
    <t>K029</t>
  </si>
  <si>
    <t>Programas de adquisiciones</t>
  </si>
  <si>
    <t>Contribuir a asegurar la generación y el uso efectivo de los recursos en salud mediante la sustitución del equipo deteriorado de las Unidades del Instituto, para brindar servicios oportunos y de calidad a la población derechohabiente.</t>
  </si>
  <si>
    <t>Las unidades medicas y no medicas del Instituto cuentan con el equipamiento necesario para otorgar atención de calidad a los usuarios.</t>
  </si>
  <si>
    <r>
      <t>Impacto de los equipos médicos recibidos, en la atención a los derechohabientes en las Unidades Médicas del Instituto.</t>
    </r>
    <r>
      <rPr>
        <i/>
        <sz val="10"/>
        <color indexed="30"/>
        <rFont val="Soberana Sans"/>
      </rPr>
      <t xml:space="preserve">
</t>
    </r>
  </si>
  <si>
    <t>Promedio de la puntuación obtenida en la Encuesta Nacional de Equipo Médico Adquirido.</t>
  </si>
  <si>
    <t>Promedio</t>
  </si>
  <si>
    <r>
      <t>Porcentaje de unidades beneficiadas con los bienes de inversión adquiridos</t>
    </r>
    <r>
      <rPr>
        <i/>
        <sz val="10"/>
        <color indexed="30"/>
        <rFont val="Soberana Sans"/>
      </rPr>
      <t xml:space="preserve">
</t>
    </r>
  </si>
  <si>
    <t>(Cantidad de Unidades Total / Cantidad de Unidades Beneficiada)*100</t>
  </si>
  <si>
    <t>A Equipos médicos y no médicos operando en las Unidades del Instituto.</t>
  </si>
  <si>
    <r>
      <t>Porcentaje de recepción de equipo adquirido</t>
    </r>
    <r>
      <rPr>
        <i/>
        <sz val="10"/>
        <color indexed="30"/>
        <rFont val="Soberana Sans"/>
      </rPr>
      <t xml:space="preserve">
</t>
    </r>
  </si>
  <si>
    <t>(Número de equipos recibidos / Total de equipos adquiridos) x 100</t>
  </si>
  <si>
    <r>
      <t xml:space="preserve">Porcentaje de equipos no médicos  instalados, funcionando y puestos en operación  </t>
    </r>
    <r>
      <rPr>
        <i/>
        <sz val="10"/>
        <color indexed="30"/>
        <rFont val="Soberana Sans"/>
      </rPr>
      <t xml:space="preserve">
</t>
    </r>
  </si>
  <si>
    <t>(Equipos no médicos instalados / Equipos no médicos autorizados)*100</t>
  </si>
  <si>
    <t>A 1 Integración de los requerimientos de sustitución de equipo médico y no médico de las Unidades del Instituto.</t>
  </si>
  <si>
    <r>
      <t>Porcentaje de requerimientos y detección de necesidades de sustitución de equipo no médico en las Unidades del Ámbito Institucional.</t>
    </r>
    <r>
      <rPr>
        <i/>
        <sz val="10"/>
        <color indexed="30"/>
        <rFont val="Soberana Sans"/>
      </rPr>
      <t xml:space="preserve">
</t>
    </r>
  </si>
  <si>
    <t>(Número de solicitudes de requerimiento autorizado / Numero de requerimientos recibidos)*100</t>
  </si>
  <si>
    <r>
      <t>Porcentaje de requerimientos actualizados</t>
    </r>
    <r>
      <rPr>
        <i/>
        <sz val="10"/>
        <color indexed="30"/>
        <rFont val="Soberana Sans"/>
      </rPr>
      <t xml:space="preserve">
</t>
    </r>
  </si>
  <si>
    <t>(Número de solicitudes de requerimiento validadas / Numero de requerimientos recibidos)*100</t>
  </si>
  <si>
    <t>Gestión-Eficiencia-Anual</t>
  </si>
  <si>
    <t>A 2 Adjudicación del suministro de los equipos de sustitución, médicos y no médicos en las Unidades del Instituto</t>
  </si>
  <si>
    <r>
      <t xml:space="preserve">Porcentaje de adquisición de equipo médico </t>
    </r>
    <r>
      <rPr>
        <i/>
        <sz val="10"/>
        <color indexed="30"/>
        <rFont val="Soberana Sans"/>
      </rPr>
      <t xml:space="preserve">
</t>
    </r>
  </si>
  <si>
    <t xml:space="preserve">(Número de equipos adjudicados/ Total de equipos incorporados en los procesos de adquisición) * 100 </t>
  </si>
  <si>
    <r>
      <t>Porcentaje de expedientes que llegan a fallo integrados para la planeación e integración del Programa de Adquisiciones</t>
    </r>
    <r>
      <rPr>
        <i/>
        <sz val="10"/>
        <color indexed="30"/>
        <rFont val="Soberana Sans"/>
      </rPr>
      <t xml:space="preserve">
</t>
    </r>
  </si>
  <si>
    <t>(Cantidad de expedientes de sustitución de equipo no médico, que llegan a fallo / Cantidad de expedientes concluidos)*100</t>
  </si>
  <si>
    <r>
      <t xml:space="preserve">Impacto de los equipos médicos recibidos, en la atención a los derechohabientes en las Unidades Médicas del Instituto.
</t>
    </r>
    <r>
      <rPr>
        <sz val="10"/>
        <rFont val="Soberana Sans"/>
        <family val="2"/>
      </rPr>
      <t xml:space="preserve"> Causa : Dentro de las acciones que se realziaron para En este caso, se trata de una encuesta de impacto en calidad, oportunidad, acceso, renta o subrogación, e impacto en las necesidades apremiantes, en la cual cada Delegación y UMAE responde 5 preguntas de acuerdo a su percepción.   Cada pregunta tiene una puntuación y al final se pondera en una calificación final.   Efecto: La razón de haber superado la meta, es que de acuerdo a la percepción de las Delegaciones y UMAE, hubo una mejoría notable en la prestación de los servicios por el equipo médico recibido.  Otros Motivos:Para el cálculo de la meta se tomaron en cuenta únicamente las URG que respondieron, dando como consecuencia un denominador de 1,000</t>
    </r>
  </si>
  <si>
    <r>
      <t xml:space="preserve">Porcentaje de unidades beneficiadas con los bienes de inversión adquiridos
</t>
    </r>
    <r>
      <rPr>
        <sz val="10"/>
        <rFont val="Soberana Sans"/>
        <family val="2"/>
      </rPr>
      <t xml:space="preserve"> Causa : Durante la el ejercicio 2018  no se concretaron dos proyectos de inversión los cuales se reprogramaron para su ejecución en el 2019, así también dentro del programa para la adquisición de equipos de aire acondicionado después de  los resultados de investigación de mercado fue necesario la priorización de equipos  considerados para la compra, ya que la mediana de los costos de los equipos adquirir se encontraba arriba de lo estimado en los Registros en cartera de Inversión. Efecto: Derivado de los resultados de investigación de mercado fue necesario la priorización de equipos  considerados para la compra, ya que la mediana de los costos de los equipos adquirir se encontraba arriba de lo estimado en los Registros en cartera de Inversiónen consecuencia no se fueron beneficiadas las unidades que habían considerado inicialmente derivado del ajuste presupuestal. La reprogramación de los recursos con los que se contaba para realizar los  expedientes que no se formalizaron obedeció a la priorización de realizar la compra de los equipos de Aire Acondicionado la cual involucro desde su etapa de investigación de mercado los siguientes equipos: Unidad manejadora de aire, Fan and coil, Unidad generadora de agua helada, Equipo dividido, Equipo paquete, Extractor de aire, Condensadora, Torre de enfriamiento, Equipo de bombeo, Mini Split, Unidad lavadora de aire, Camara de refrigeración.  Otros Motivos:La dirección de finanzas establece como fecha límite el 18 de Diciembre 2018 para la recepción de facturas y documentos correspondientes a los bienes y servicios devengados y recibidos sin embargo se observó que los tiempos establecidos para la contratación y entrega de bienes seria hasta el siguiente ejercicio fiscal sin que esta sea una contratación plurianual de los proyectos que no se llevaron a cabo en el 2018. Así como al Oficio No. 1892 Emitido por la Secretaria de Hacienda y Crédito Público de fecha 29 junio 2018  en el cual  indica la fecha límite el 16 de julio 2018 para llevar a cabo los procedimientos de adquisición para la Función Publica de lo anterior no se pudo llevar a cabo  uno de los proyectos de inversión  </t>
    </r>
  </si>
  <si>
    <r>
      <t xml:space="preserve">Porcentaje de recepción de equipo adquirido
</t>
    </r>
    <r>
      <rPr>
        <sz val="10"/>
        <rFont val="Soberana Sans"/>
        <family val="2"/>
      </rPr>
      <t xml:space="preserve"> Causa : En este año se adopto la estrategia de citar a reuniones de trabajo a los proveedores de equipo, con el fin verificar los avances y resolver las problemáticas que fueran surgiendo en los procesos de entrega-recepción, estrategia que sirvió para superar la meta establecida.         Efecto: Al establecer estas acciones de supervisión, los inconvenientes en la entrega se resolvían pronto y se mejoró considerablemente la cantidad de bienes recibidos en tiempo y forma. Otros Motivos:Mayor colaboración y comunicación entre las áreas involucradas (Nivel Central, Delegaciones, Unidades Médicas y Proveedores)</t>
    </r>
  </si>
  <si>
    <r>
      <t xml:space="preserve">Porcentaje de equipos no médicos  instalados, funcionando y puestos en operación  
</t>
    </r>
    <r>
      <rPr>
        <sz val="10"/>
        <rFont val="Soberana Sans"/>
        <family val="2"/>
      </rPr>
      <t xml:space="preserve"> Causa : Durante la el ejercicio 2018  la reprogramación de los recursos con los que se contaba para realizar los  Proyectos de Inversión que no fueron ejecutado, obedeció a la priorización de realizar la compra de los equipos de Aire Acondicionado la cual involucro desde su etapa de investigación de mercado los siguientes equipos: Unidad manejadora de aire, Fan and coil, Unidad generadora de agua helada, Equipo dividido, Equipo paquete, Extractor de aire, Condensadora, Torre de enfriamiento, Equipo de bombeo, Mini Split, Unidad lavadora de aire, Camara de refrigeración.  Dado el gran universo de equipos que fueron considerados para este programa la etapa  de integración del anexo técnico se extendió lo que provoco un desfase en la programación de adquisición por ende se vio la necesidad de reprogramar el recurso de los otros programas para el siguiente ejercicio fiscal.    Dentro del programa para la adquisición de equipos de aire acondicionado después de los resultados de investigación de mercado fue necesario la priorización de equipos  considerados para la compra, ya que la mediana de los costos de los equipos adquirir se encontraba arriba de lo estimado en los Registros en cartera de Inversión.  Efecto: Derivado de los resultados de investigación de mercado fue necesario la priorización de equipos  considerados para la compra, ya que la mediana de los costos de los equipos adquirir se encontraba arriba de lo estimado en los Registros en Cartera de Inversión en consecuencia no  se pudo adquirir los equipos considerados  inicialmente derivado del ajuste presupuestal. La reprogramación de los recursos con los que se contaba para realizar los  expedientes que no se formalizaron obedeció a la priorización de realizar la compra de los equipos de Aire Acondicionado la cual involucro desde su etapa de investigación de mercado los siguientes equipos: Unidad manejadora de aire, Fan and coil, Unidad generadora de agua helada, Equipo dividido, Equipo paquete, Extractor de aire, Condensadora, Torre de enfriamiento, Equipo de bombeo, Mini Split, Unidad lavadora de aire, Camara de refrigeración. El ejecutar los otros programas de compra traería como consecuencia superar el ejercicio fiscal, se generarían pasivos por el orden del monto de la adjudicación y se tendría que tramitar ante la Unidad de Inversión de la Secretaría de Hacienda y Crédito Público una ampliación a la vigencia de los Proyectos de Inversión actuales los cuales  cuentan con una programación a ejecutarse en  2018, con lo cual se tiene el riesgo de que  dicha Secretaría niegue  la ampliación y como el recurso está programado para ejecutarse en 2018 se tiene la posibilidad  de que los devengos contractuales no se realicen.  Otros Motivos:La dirección de finanzas establece como fecha límite el 18 de Diciembre 2018 para la recepción de facturas y documentos correspondientes a los bienes y servicios devengados y recibidos sin embargo se observó que los tiempos establecidos para la contratación y entrega de bienes seria hasta el siguiente ejercicio fiscal sin que esta sea una contratación plurianual de los proyectos que no se llevaron a cabo en el 2018. Así como al Oficio No. 1892 Emitido por la Secretaria de Hacienda y Crédito Público de fecha 29 junio 2018  en el cual  indica la fecha límite el 16 de julio 2018 para llevar a cabo los procedimientos de adquisición para la Función Publica de lo anterior no se pudo llevar a cabo  uno de los proyectos de inversión  </t>
    </r>
  </si>
  <si>
    <r>
      <t xml:space="preserve">Porcentaje de requerimientos y detección de necesidades de sustitución de equipo no médico en las Unidades del Ámbito Institucional.
</t>
    </r>
    <r>
      <rPr>
        <sz val="10"/>
        <rFont val="Soberana Sans"/>
        <family val="2"/>
      </rPr>
      <t xml:space="preserve"> Causa : Se recibieron  en la División de Conservación el requerimiento de las 36 delegaciones y 25 UMAE que conforman el Universo Físico del Instituto para sustitución de equipos de aire acondicionado.  Efecto: Derivado del presupuesto asignado por medio de los Programas y Proyectos de Inversión,  se logro considerar para la etapa de Investigacin de mercado las cinco primeras prioridades de las   35 Delegación y 16 UMAE Otros Motivos:Dado  los resultados de investigacion de mercado  se priorizo la compra de  siete tipos de equipo de aitre acondicionado  los cuales son: Fan and coil, Equipo paquete, Ventilador, Unidad Condensadora, Torre de enfriamiento, Motobomba, Unidad lavadora de aire </t>
    </r>
  </si>
  <si>
    <r>
      <t xml:space="preserve">Porcentaje de requerimientos actualizados
</t>
    </r>
    <r>
      <rPr>
        <sz val="10"/>
        <rFont val="Soberana Sans"/>
        <family val="2"/>
      </rPr>
      <t xml:space="preserve"> Causa : Algunas Delegaciones y UMAE no asignaron prioridad a la totalidad de los artículos que se encuentran en la proforma. Efecto: Aunque en el comportamiento del indicador, traduce un menor desempeño, en realidad no impacta en el programa de inversión, que éste último se consensa con las Delegaciones/UMAE y la Normativa de Equipo Médico (CPIM) Otros Motivos:</t>
    </r>
  </si>
  <si>
    <r>
      <t xml:space="preserve">Porcentaje de adquisición de equipo médico 
</t>
    </r>
    <r>
      <rPr>
        <sz val="10"/>
        <rFont val="Soberana Sans"/>
        <family val="2"/>
      </rPr>
      <t xml:space="preserve"> Causa : Gran parte de los equipos considerados en el total, correspondía al programa nacional de sustitución de camas hospitalarias, y correspondía a 20,904 camas. Sin embargo dicho procedimiento de licitación se declaró desierto por lo que el avance es muy inferior a lo planeado y no logró alcanzarse la meta propuesta. Efecto: La variación traerá como consecuencia que durante este ejercicio no se pueda alcanzar la meta propuesta, debido a que el procedimiento desierto corresponde a un gran porcentaje del total propuesto. Otros Motivos:Licitación desierta</t>
    </r>
  </si>
  <si>
    <r>
      <t xml:space="preserve">Porcentaje de expedientes que llegan a fallo integrados para la planeación e integración del Programa de Adquisiciones
</t>
    </r>
    <r>
      <rPr>
        <sz val="10"/>
        <rFont val="Soberana Sans"/>
        <family val="2"/>
      </rPr>
      <t xml:space="preserve"> Causa : Durante el ejercicio 2018  se concretó un expediente de compra para la adquisición de equipos de aire acondicionado derivado de las necesidades de la operación en Hospitales de Segundo y Tercer nivel, Unidades de Medicina Familiar e Inmuebles administrativos y de prestaciones Sociales. El requerimiento primordial para sustitución derivado de la antigüedad con que cuentan los equipos fue la especialidad de Aire Acondicionado razón por la cual se priorizo esta compra. Por lo que hace de los otros programas de sustitución se reprogramo el recurso para ser ejecutado en el 2019 y subsanar la necesidad expresada por las Delegaciones y UMAE.  Efecto: La reprogramación de los recursos con los que se contaba para realizar los  expedientes que no se formalizaron obedeció a la priorización de realizar la compra de los equipos de Aire Acondicionado, la cual involucro desde su etapa de investigación de mercado los siguientes equipos: Unidad manejadora de aire, Fan and coil, Unidad generadora de agua helada, Equipo dividido, Equipo paquete, Extractor de aire, Condensadora, Torre de enfriamiento, Equipo de bombeo, Mini Split, Unidad lavadora de aire, Camara de refrigeración.  Dada el gran universo de equipos que fueron considerados para este programa, la etapa  de integración del anexo técnico se extendió, lo que provoco un desfase en la programación de adquisición, por ende se vio la necesidad de reprogramar el recurso de los otros programas para el siguiente ejercicio fiscal.    El ejecutar los otros programas de compra traería como consecuencia superar el ejercicio fiscal, se generarían pasivos por el orden del monto de la adjudicación y se tendría que tramitar ante la Unidad de Inversión de la Secretaría de Hacienda y Crédito Público una ampliación a la vigencia de los Proyectos de Inversión actuales los cuales  cuentan con una programación a ejecutarse en  2018, con lo cual se tiene el riesgo de que  dicha Secretaría niegue  la ampliación y como el recurso está programado para ejecutarse en 2018 se tiene la posibilidad  de que los devengos contractuales no se realicen.  Otros Motivos:La dirección de finanzas establece como fecha límite el 18 de Diciembre 2018 para la recepción de facturas y documentos correspondientes a los bienes y servicios devengados y recibidos sin embargo se observó que los tiempos establecidos para la contratación y entrega de bienes seria hasta el siguiente ejercicio fiscal sin que esta sea una contratación plurianual</t>
    </r>
  </si>
  <si>
    <t>Reporte de avande de los Indicadores de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</si>
</sst>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font>
      <sz val="10"/>
      <name val="Soberana Sans"/>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sz val="14"/>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1" fillId="0" borderId="0" xfId="0" applyFont="1" applyFill="1" applyAlignment="1">
      <alignment vertical="center"/>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8" fillId="0" borderId="16"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8" fillId="36" borderId="2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4" fontId="19" fillId="0" borderId="40" xfId="0" applyNumberFormat="1" applyFont="1" applyBorder="1" applyAlignment="1">
      <alignment horizontal="right" vertical="top" wrapText="1"/>
    </xf>
    <xf numFmtId="164" fontId="0" fillId="0" borderId="41" xfId="0" applyNumberFormat="1" applyBorder="1" applyAlignment="1">
      <alignment horizontal="right" vertical="top" wrapText="1"/>
    </xf>
    <xf numFmtId="0" fontId="18" fillId="0" borderId="42" xfId="0" applyFont="1" applyFill="1" applyBorder="1" applyAlignment="1">
      <alignment vertical="top" wrapText="1"/>
    </xf>
    <xf numFmtId="4" fontId="19" fillId="0" borderId="43" xfId="0" applyNumberFormat="1" applyFont="1" applyBorder="1" applyAlignment="1">
      <alignment horizontal="right" vertical="top" wrapText="1"/>
    </xf>
    <xf numFmtId="3"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4" fontId="0" fillId="0" borderId="52" xfId="0" applyNumberFormat="1" applyFill="1" applyBorder="1" applyAlignment="1">
      <alignment horizontal="right" vertical="top" wrapText="1"/>
    </xf>
    <xf numFmtId="164" fontId="19" fillId="0" borderId="53" xfId="0" applyNumberFormat="1" applyFont="1" applyFill="1" applyBorder="1" applyAlignment="1">
      <alignment horizontal="right"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3" fontId="19" fillId="0" borderId="40" xfId="0" applyNumberFormat="1" applyFont="1" applyBorder="1" applyAlignment="1">
      <alignment horizontal="right" vertical="top" wrapText="1"/>
    </xf>
    <xf numFmtId="0" fontId="28" fillId="33" borderId="0" xfId="0" applyFont="1" applyFill="1" applyAlignment="1">
      <alignment horizontal="center" vertical="center" wrapText="1"/>
    </xf>
    <xf numFmtId="0" fontId="32" fillId="34" borderId="0" xfId="0"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Alignment="1">
      <alignment horizontal="justify" vertical="top" wrapText="1"/>
    </xf>
    <xf numFmtId="0" fontId="18" fillId="0" borderId="42"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60"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6"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0" fillId="0" borderId="43" xfId="0" applyFill="1" applyBorder="1" applyAlignment="1">
      <alignment horizontal="justify" vertical="top" wrapText="1"/>
    </xf>
    <xf numFmtId="0" fontId="0" fillId="0" borderId="40" xfId="0" applyFill="1" applyBorder="1" applyAlignment="1">
      <alignment horizontal="justify" vertical="top" wrapText="1"/>
    </xf>
    <xf numFmtId="0" fontId="18" fillId="36" borderId="22"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0" xfId="0" applyFont="1" applyFill="1" applyBorder="1" applyAlignment="1">
      <alignment horizontal="center" vertical="top" wrapText="1"/>
    </xf>
    <xf numFmtId="0" fontId="18" fillId="36" borderId="26"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9" fillId="0" borderId="17" xfId="0" applyFont="1" applyBorder="1" applyAlignment="1">
      <alignment horizontal="justify" vertical="top" wrapText="1"/>
    </xf>
    <xf numFmtId="0" fontId="19" fillId="0" borderId="18" xfId="0" applyFont="1" applyBorder="1" applyAlignment="1">
      <alignment horizontal="justify" vertical="top" wrapText="1"/>
    </xf>
    <xf numFmtId="0" fontId="18" fillId="36" borderId="19"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0"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8"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29" fillId="33" borderId="0" xfId="0" applyFont="1" applyFill="1" applyAlignment="1">
      <alignment horizontal="center" vertical="center" wrapText="1"/>
    </xf>
    <xf numFmtId="0" fontId="30" fillId="0" borderId="0" xfId="0" applyFont="1" applyBorder="1" applyAlignment="1">
      <alignment horizontal="justify"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9"/>
  <sheetViews>
    <sheetView tabSelected="1" view="pageBreakPreview" zoomScale="80" zoomScaleNormal="80" zoomScaleSheetLayoutView="80" workbookViewId="0">
      <selection activeCell="I7" sqref="I7"/>
    </sheetView>
  </sheetViews>
  <sheetFormatPr baseColWidth="10" defaultColWidth="5" defaultRowHeight="12.75"/>
  <cols>
    <col min="1" max="1" width="3.42578125" style="1" customWidth="1"/>
    <col min="2" max="16384" width="5" style="1"/>
  </cols>
  <sheetData>
    <row r="1" spans="2:30" s="2" customFormat="1" ht="48" customHeight="1">
      <c r="B1" s="55" t="s">
        <v>583</v>
      </c>
      <c r="C1" s="55"/>
      <c r="D1" s="55"/>
      <c r="E1" s="55"/>
      <c r="F1" s="55"/>
      <c r="G1" s="55"/>
      <c r="H1" s="55"/>
      <c r="I1" s="55"/>
      <c r="J1" s="55"/>
      <c r="K1" s="55"/>
      <c r="L1" s="55"/>
      <c r="M1" s="55"/>
      <c r="N1" s="55"/>
      <c r="O1" s="55"/>
      <c r="P1" s="55"/>
      <c r="Q1" s="3" t="s">
        <v>0</v>
      </c>
    </row>
    <row r="2" spans="2:30" ht="13.5" customHeight="1"/>
    <row r="3" spans="2:30" ht="13.5" customHeight="1"/>
    <row r="4" spans="2:30" ht="13.5" customHeight="1"/>
    <row r="5" spans="2:30" ht="13.5" customHeight="1"/>
    <row r="6" spans="2:30" ht="13.5" customHeight="1"/>
    <row r="7" spans="2:30" ht="13.5" customHeight="1"/>
    <row r="8" spans="2:30" ht="13.5" customHeight="1"/>
    <row r="9" spans="2:30" ht="13.5" customHeight="1"/>
    <row r="10" spans="2:30" ht="13.5" customHeight="1"/>
    <row r="11" spans="2:30" ht="13.5" customHeight="1">
      <c r="B11" s="56" t="s">
        <v>1</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row>
    <row r="12" spans="2:30" ht="13.5" customHeight="1">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row>
    <row r="13" spans="2:30" ht="13.5" customHeight="1">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row>
    <row r="14" spans="2:30" ht="13.5" customHeight="1">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row>
    <row r="15" spans="2:30" ht="13.5" customHeight="1">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row>
    <row r="16" spans="2:30" ht="13.5" customHeight="1">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row>
    <row r="17" spans="2:30" ht="13.5" customHeight="1">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row>
    <row r="18" spans="2:30" ht="13.5" customHeight="1">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row>
    <row r="19" spans="2:30" ht="13.5" customHeight="1">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row>
    <row r="20" spans="2:30" ht="13.5" customHeight="1">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row>
    <row r="21" spans="2:30" ht="13.5" customHeight="1">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row>
    <row r="22" spans="2:30" ht="13.5" customHeight="1">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row>
    <row r="23" spans="2:30" ht="13.5" customHeight="1">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row>
    <row r="24" spans="2:30" ht="13.5" customHeight="1">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row>
    <row r="25" spans="2:30" ht="13.5" customHeight="1">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row>
    <row r="26" spans="2:30" ht="13.5" customHeight="1">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row>
    <row r="27" spans="2:30" ht="13.5" customHeight="1">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row>
    <row r="28" spans="2:30" ht="13.5" customHeight="1">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row>
    <row r="29" spans="2:30" ht="13.5" customHeight="1">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row>
    <row r="30" spans="2:30" ht="13.5" customHeight="1">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row>
    <row r="31" spans="2:30" ht="13.5" customHeight="1">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row>
    <row r="32" spans="2:30" ht="13.5" customHeight="1">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row>
    <row r="33" spans="2:30" ht="13.5" customHeight="1">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row>
    <row r="34" spans="2:30" ht="13.5" customHeight="1">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row>
    <row r="35" spans="2:30" ht="13.5" customHeight="1"/>
    <row r="36" spans="2:30" ht="13.5" customHeight="1"/>
    <row r="37" spans="2:30" ht="13.5" customHeight="1"/>
    <row r="38" spans="2:30" ht="13.5" customHeight="1"/>
    <row r="39" spans="2:30" ht="13.5" customHeight="1"/>
    <row r="40" spans="2:30" ht="13.5" customHeight="1"/>
    <row r="41" spans="2:30" ht="13.5" customHeight="1"/>
    <row r="42" spans="2:30" ht="13.5" customHeight="1"/>
    <row r="43" spans="2:30" ht="13.5" customHeight="1"/>
    <row r="44" spans="2:30" ht="13.5" customHeight="1"/>
    <row r="45" spans="2:30" ht="13.5" customHeight="1"/>
    <row r="46" spans="2:30" ht="13.5" customHeight="1"/>
    <row r="47" spans="2:30" ht="13.5" customHeight="1"/>
    <row r="48" spans="2:30" ht="13.5" customHeight="1"/>
    <row r="49" spans="4:28" ht="20.25" customHeight="1">
      <c r="D49" s="57" t="s">
        <v>2</v>
      </c>
      <c r="E49" s="57"/>
      <c r="F49" s="57"/>
      <c r="G49" s="57"/>
      <c r="H49" s="57"/>
      <c r="I49" s="57"/>
      <c r="J49" s="57"/>
      <c r="K49" s="57"/>
      <c r="L49" s="57"/>
      <c r="M49" s="57"/>
      <c r="N49" s="57"/>
      <c r="O49" s="57"/>
      <c r="P49" s="57"/>
      <c r="Q49" s="57"/>
      <c r="R49" s="57"/>
      <c r="S49" s="57"/>
      <c r="T49" s="57"/>
      <c r="U49" s="57"/>
      <c r="V49" s="57"/>
      <c r="W49" s="57"/>
      <c r="X49" s="57"/>
      <c r="Y49" s="57"/>
      <c r="Z49" s="57"/>
      <c r="AA49" s="57"/>
      <c r="AB49" s="57"/>
    </row>
    <row r="50" spans="4:28" ht="13.5" customHeight="1">
      <c r="D50" s="58" t="s">
        <v>3</v>
      </c>
      <c r="E50" s="58"/>
      <c r="F50" s="58"/>
      <c r="G50" s="58"/>
      <c r="H50" s="58"/>
      <c r="I50" s="58"/>
      <c r="J50" s="58"/>
      <c r="K50" s="58"/>
      <c r="L50" s="58"/>
      <c r="M50" s="58"/>
      <c r="N50" s="58"/>
      <c r="O50" s="58"/>
      <c r="P50" s="58"/>
      <c r="Q50" s="58"/>
      <c r="R50" s="58"/>
      <c r="S50" s="58"/>
      <c r="T50" s="58"/>
      <c r="U50" s="58"/>
      <c r="V50" s="58"/>
      <c r="W50" s="58"/>
      <c r="X50" s="58"/>
      <c r="Y50" s="58"/>
      <c r="Z50" s="58"/>
      <c r="AA50" s="58"/>
      <c r="AB50" s="58"/>
    </row>
    <row r="51" spans="4:28" ht="13.5" customHeight="1">
      <c r="D51" s="58"/>
      <c r="E51" s="58"/>
      <c r="F51" s="58"/>
      <c r="G51" s="58"/>
      <c r="H51" s="58"/>
      <c r="I51" s="58"/>
      <c r="J51" s="58"/>
      <c r="K51" s="58"/>
      <c r="L51" s="58"/>
      <c r="M51" s="58"/>
      <c r="N51" s="58"/>
      <c r="O51" s="58"/>
      <c r="P51" s="58"/>
      <c r="Q51" s="58"/>
      <c r="R51" s="58"/>
      <c r="S51" s="58"/>
      <c r="T51" s="58"/>
      <c r="U51" s="58"/>
      <c r="V51" s="58"/>
      <c r="W51" s="58"/>
      <c r="X51" s="58"/>
      <c r="Y51" s="58"/>
      <c r="Z51" s="58"/>
      <c r="AA51" s="58"/>
      <c r="AB51" s="58"/>
    </row>
    <row r="52" spans="4:28" ht="13.5" customHeight="1">
      <c r="D52" s="58"/>
      <c r="E52" s="58"/>
      <c r="F52" s="58"/>
      <c r="G52" s="58"/>
      <c r="H52" s="58"/>
      <c r="I52" s="58"/>
      <c r="J52" s="58"/>
      <c r="K52" s="58"/>
      <c r="L52" s="58"/>
      <c r="M52" s="58"/>
      <c r="N52" s="58"/>
      <c r="O52" s="58"/>
      <c r="P52" s="58"/>
      <c r="Q52" s="58"/>
      <c r="R52" s="58"/>
      <c r="S52" s="58"/>
      <c r="T52" s="58"/>
      <c r="U52" s="58"/>
      <c r="V52" s="58"/>
      <c r="W52" s="58"/>
      <c r="X52" s="58"/>
      <c r="Y52" s="58"/>
      <c r="Z52" s="58"/>
      <c r="AA52" s="58"/>
      <c r="AB52" s="58"/>
    </row>
    <row r="53" spans="4:28" ht="13.5" customHeight="1">
      <c r="D53" s="58"/>
      <c r="E53" s="58"/>
      <c r="F53" s="58"/>
      <c r="G53" s="58"/>
      <c r="H53" s="58"/>
      <c r="I53" s="58"/>
      <c r="J53" s="58"/>
      <c r="K53" s="58"/>
      <c r="L53" s="58"/>
      <c r="M53" s="58"/>
      <c r="N53" s="58"/>
      <c r="O53" s="58"/>
      <c r="P53" s="58"/>
      <c r="Q53" s="58"/>
      <c r="R53" s="58"/>
      <c r="S53" s="58"/>
      <c r="T53" s="58"/>
      <c r="U53" s="58"/>
      <c r="V53" s="58"/>
      <c r="W53" s="58"/>
      <c r="X53" s="58"/>
      <c r="Y53" s="58"/>
      <c r="Z53" s="58"/>
      <c r="AA53" s="58"/>
      <c r="AB53" s="58"/>
    </row>
    <row r="54" spans="4:28" ht="13.5" customHeight="1">
      <c r="D54" s="58"/>
      <c r="E54" s="58"/>
      <c r="F54" s="58"/>
      <c r="G54" s="58"/>
      <c r="H54" s="58"/>
      <c r="I54" s="58"/>
      <c r="J54" s="58"/>
      <c r="K54" s="58"/>
      <c r="L54" s="58"/>
      <c r="M54" s="58"/>
      <c r="N54" s="58"/>
      <c r="O54" s="58"/>
      <c r="P54" s="58"/>
      <c r="Q54" s="58"/>
      <c r="R54" s="58"/>
      <c r="S54" s="58"/>
      <c r="T54" s="58"/>
      <c r="U54" s="58"/>
      <c r="V54" s="58"/>
      <c r="W54" s="58"/>
      <c r="X54" s="58"/>
      <c r="Y54" s="58"/>
      <c r="Z54" s="58"/>
      <c r="AA54" s="58"/>
      <c r="AB54" s="58"/>
    </row>
    <row r="55" spans="4:28" ht="13.5" customHeight="1">
      <c r="D55" s="58"/>
      <c r="E55" s="58"/>
      <c r="F55" s="58"/>
      <c r="G55" s="58"/>
      <c r="H55" s="58"/>
      <c r="I55" s="58"/>
      <c r="J55" s="58"/>
      <c r="K55" s="58"/>
      <c r="L55" s="58"/>
      <c r="M55" s="58"/>
      <c r="N55" s="58"/>
      <c r="O55" s="58"/>
      <c r="P55" s="58"/>
      <c r="Q55" s="58"/>
      <c r="R55" s="58"/>
      <c r="S55" s="58"/>
      <c r="T55" s="58"/>
      <c r="U55" s="58"/>
      <c r="V55" s="58"/>
      <c r="W55" s="58"/>
      <c r="X55" s="58"/>
      <c r="Y55" s="58"/>
      <c r="Z55" s="58"/>
      <c r="AA55" s="58"/>
      <c r="AB55" s="58"/>
    </row>
    <row r="56" spans="4:28" ht="13.5" customHeight="1">
      <c r="D56" s="58"/>
      <c r="E56" s="58"/>
      <c r="F56" s="58"/>
      <c r="G56" s="58"/>
      <c r="H56" s="58"/>
      <c r="I56" s="58"/>
      <c r="J56" s="58"/>
      <c r="K56" s="58"/>
      <c r="L56" s="58"/>
      <c r="M56" s="58"/>
      <c r="N56" s="58"/>
      <c r="O56" s="58"/>
      <c r="P56" s="58"/>
      <c r="Q56" s="58"/>
      <c r="R56" s="58"/>
      <c r="S56" s="58"/>
      <c r="T56" s="58"/>
      <c r="U56" s="58"/>
      <c r="V56" s="58"/>
      <c r="W56" s="58"/>
      <c r="X56" s="58"/>
      <c r="Y56" s="58"/>
      <c r="Z56" s="58"/>
      <c r="AA56" s="58"/>
      <c r="AB56" s="58"/>
    </row>
    <row r="57" spans="4:28" ht="13.5" customHeight="1">
      <c r="D57" s="58"/>
      <c r="E57" s="58"/>
      <c r="F57" s="58"/>
      <c r="G57" s="58"/>
      <c r="H57" s="58"/>
      <c r="I57" s="58"/>
      <c r="J57" s="58"/>
      <c r="K57" s="58"/>
      <c r="L57" s="58"/>
      <c r="M57" s="58"/>
      <c r="N57" s="58"/>
      <c r="O57" s="58"/>
      <c r="P57" s="58"/>
      <c r="Q57" s="58"/>
      <c r="R57" s="58"/>
      <c r="S57" s="58"/>
      <c r="T57" s="58"/>
      <c r="U57" s="58"/>
      <c r="V57" s="58"/>
      <c r="W57" s="58"/>
      <c r="X57" s="58"/>
      <c r="Y57" s="58"/>
      <c r="Z57" s="58"/>
      <c r="AA57" s="58"/>
      <c r="AB57" s="58"/>
    </row>
    <row r="58" spans="4:28" ht="13.5" customHeight="1">
      <c r="D58" s="58"/>
      <c r="E58" s="58"/>
      <c r="F58" s="58"/>
      <c r="G58" s="58"/>
      <c r="H58" s="58"/>
      <c r="I58" s="58"/>
      <c r="J58" s="58"/>
      <c r="K58" s="58"/>
      <c r="L58" s="58"/>
      <c r="M58" s="58"/>
      <c r="N58" s="58"/>
      <c r="O58" s="58"/>
      <c r="P58" s="58"/>
      <c r="Q58" s="58"/>
      <c r="R58" s="58"/>
      <c r="S58" s="58"/>
      <c r="T58" s="58"/>
      <c r="U58" s="58"/>
      <c r="V58" s="58"/>
      <c r="W58" s="58"/>
      <c r="X58" s="58"/>
      <c r="Y58" s="58"/>
      <c r="Z58" s="58"/>
      <c r="AA58" s="58"/>
      <c r="AB58" s="58"/>
    </row>
    <row r="59" spans="4:28" ht="13.5" customHeight="1">
      <c r="D59" s="58"/>
      <c r="E59" s="58"/>
      <c r="F59" s="58"/>
      <c r="G59" s="58"/>
      <c r="H59" s="58"/>
      <c r="I59" s="58"/>
      <c r="J59" s="58"/>
      <c r="K59" s="58"/>
      <c r="L59" s="58"/>
      <c r="M59" s="58"/>
      <c r="N59" s="58"/>
      <c r="O59" s="58"/>
      <c r="P59" s="58"/>
      <c r="Q59" s="58"/>
      <c r="R59" s="58"/>
      <c r="S59" s="58"/>
      <c r="T59" s="58"/>
      <c r="U59" s="58"/>
      <c r="V59" s="58"/>
      <c r="W59" s="58"/>
      <c r="X59" s="58"/>
      <c r="Y59" s="58"/>
      <c r="Z59" s="58"/>
      <c r="AA59" s="58"/>
      <c r="AB59" s="58"/>
    </row>
    <row r="60" spans="4:28" ht="13.5" customHeight="1">
      <c r="D60" s="58"/>
      <c r="E60" s="58"/>
      <c r="F60" s="58"/>
      <c r="G60" s="58"/>
      <c r="H60" s="58"/>
      <c r="I60" s="58"/>
      <c r="J60" s="58"/>
      <c r="K60" s="58"/>
      <c r="L60" s="58"/>
      <c r="M60" s="58"/>
      <c r="N60" s="58"/>
      <c r="O60" s="58"/>
      <c r="P60" s="58"/>
      <c r="Q60" s="58"/>
      <c r="R60" s="58"/>
      <c r="S60" s="58"/>
      <c r="T60" s="58"/>
      <c r="U60" s="58"/>
      <c r="V60" s="58"/>
      <c r="W60" s="58"/>
      <c r="X60" s="58"/>
      <c r="Y60" s="58"/>
      <c r="Z60" s="58"/>
      <c r="AA60" s="58"/>
      <c r="AB60" s="58"/>
    </row>
    <row r="61" spans="4:28" ht="13.5" customHeight="1">
      <c r="D61" s="58"/>
      <c r="E61" s="58"/>
      <c r="F61" s="58"/>
      <c r="G61" s="58"/>
      <c r="H61" s="58"/>
      <c r="I61" s="58"/>
      <c r="J61" s="58"/>
      <c r="K61" s="58"/>
      <c r="L61" s="58"/>
      <c r="M61" s="58"/>
      <c r="N61" s="58"/>
      <c r="O61" s="58"/>
      <c r="P61" s="58"/>
      <c r="Q61" s="58"/>
      <c r="R61" s="58"/>
      <c r="S61" s="58"/>
      <c r="T61" s="58"/>
      <c r="U61" s="58"/>
      <c r="V61" s="58"/>
      <c r="W61" s="58"/>
      <c r="X61" s="58"/>
      <c r="Y61" s="58"/>
      <c r="Z61" s="58"/>
      <c r="AA61" s="58"/>
      <c r="AB61" s="58"/>
    </row>
    <row r="62" spans="4:28" ht="13.5" customHeight="1">
      <c r="D62" s="58"/>
      <c r="E62" s="58"/>
      <c r="F62" s="58"/>
      <c r="G62" s="58"/>
      <c r="H62" s="58"/>
      <c r="I62" s="58"/>
      <c r="J62" s="58"/>
      <c r="K62" s="58"/>
      <c r="L62" s="58"/>
      <c r="M62" s="58"/>
      <c r="N62" s="58"/>
      <c r="O62" s="58"/>
      <c r="P62" s="58"/>
      <c r="Q62" s="58"/>
      <c r="R62" s="58"/>
      <c r="S62" s="58"/>
      <c r="T62" s="58"/>
      <c r="U62" s="58"/>
      <c r="V62" s="58"/>
      <c r="W62" s="58"/>
      <c r="X62" s="58"/>
      <c r="Y62" s="58"/>
      <c r="Z62" s="58"/>
      <c r="AA62" s="58"/>
      <c r="AB62" s="58"/>
    </row>
    <row r="63" spans="4:28" ht="13.5" customHeight="1">
      <c r="D63" s="58"/>
      <c r="E63" s="58"/>
      <c r="F63" s="58"/>
      <c r="G63" s="58"/>
      <c r="H63" s="58"/>
      <c r="I63" s="58"/>
      <c r="J63" s="58"/>
      <c r="K63" s="58"/>
      <c r="L63" s="58"/>
      <c r="M63" s="58"/>
      <c r="N63" s="58"/>
      <c r="O63" s="58"/>
      <c r="P63" s="58"/>
      <c r="Q63" s="58"/>
      <c r="R63" s="58"/>
      <c r="S63" s="58"/>
      <c r="T63" s="58"/>
      <c r="U63" s="58"/>
      <c r="V63" s="58"/>
      <c r="W63" s="58"/>
      <c r="X63" s="58"/>
      <c r="Y63" s="58"/>
      <c r="Z63" s="58"/>
      <c r="AA63" s="58"/>
      <c r="AB63" s="58"/>
    </row>
    <row r="64" spans="4:28" ht="13.5" customHeight="1">
      <c r="D64" s="58"/>
      <c r="E64" s="58"/>
      <c r="F64" s="58"/>
      <c r="G64" s="58"/>
      <c r="H64" s="58"/>
      <c r="I64" s="58"/>
      <c r="J64" s="58"/>
      <c r="K64" s="58"/>
      <c r="L64" s="58"/>
      <c r="M64" s="58"/>
      <c r="N64" s="58"/>
      <c r="O64" s="58"/>
      <c r="P64" s="58"/>
      <c r="Q64" s="58"/>
      <c r="R64" s="58"/>
      <c r="S64" s="58"/>
      <c r="T64" s="58"/>
      <c r="U64" s="58"/>
      <c r="V64" s="58"/>
      <c r="W64" s="58"/>
      <c r="X64" s="58"/>
      <c r="Y64" s="58"/>
      <c r="Z64" s="58"/>
      <c r="AA64" s="58"/>
      <c r="AB64" s="58"/>
    </row>
    <row r="65" spans="4:28" ht="13.5" customHeight="1">
      <c r="D65" s="58"/>
      <c r="E65" s="58"/>
      <c r="F65" s="58"/>
      <c r="G65" s="58"/>
      <c r="H65" s="58"/>
      <c r="I65" s="58"/>
      <c r="J65" s="58"/>
      <c r="K65" s="58"/>
      <c r="L65" s="58"/>
      <c r="M65" s="58"/>
      <c r="N65" s="58"/>
      <c r="O65" s="58"/>
      <c r="P65" s="58"/>
      <c r="Q65" s="58"/>
      <c r="R65" s="58"/>
      <c r="S65" s="58"/>
      <c r="T65" s="58"/>
      <c r="U65" s="58"/>
      <c r="V65" s="58"/>
      <c r="W65" s="58"/>
      <c r="X65" s="58"/>
      <c r="Y65" s="58"/>
      <c r="Z65" s="58"/>
      <c r="AA65" s="58"/>
      <c r="AB65" s="58"/>
    </row>
    <row r="66" spans="4:28" ht="13.5" customHeight="1">
      <c r="D66" s="58"/>
      <c r="E66" s="58"/>
      <c r="F66" s="58"/>
      <c r="G66" s="58"/>
      <c r="H66" s="58"/>
      <c r="I66" s="58"/>
      <c r="J66" s="58"/>
      <c r="K66" s="58"/>
      <c r="L66" s="58"/>
      <c r="M66" s="58"/>
      <c r="N66" s="58"/>
      <c r="O66" s="58"/>
      <c r="P66" s="58"/>
      <c r="Q66" s="58"/>
      <c r="R66" s="58"/>
      <c r="S66" s="58"/>
      <c r="T66" s="58"/>
      <c r="U66" s="58"/>
      <c r="V66" s="58"/>
      <c r="W66" s="58"/>
      <c r="X66" s="58"/>
      <c r="Y66" s="58"/>
      <c r="Z66" s="58"/>
      <c r="AA66" s="58"/>
      <c r="AB66" s="58"/>
    </row>
    <row r="67" spans="4:28" ht="13.5" customHeight="1">
      <c r="D67" s="58"/>
      <c r="E67" s="58"/>
      <c r="F67" s="58"/>
      <c r="G67" s="58"/>
      <c r="H67" s="58"/>
      <c r="I67" s="58"/>
      <c r="J67" s="58"/>
      <c r="K67" s="58"/>
      <c r="L67" s="58"/>
      <c r="M67" s="58"/>
      <c r="N67" s="58"/>
      <c r="O67" s="58"/>
      <c r="P67" s="58"/>
      <c r="Q67" s="58"/>
      <c r="R67" s="58"/>
      <c r="S67" s="58"/>
      <c r="T67" s="58"/>
      <c r="U67" s="58"/>
      <c r="V67" s="58"/>
      <c r="W67" s="58"/>
      <c r="X67" s="58"/>
      <c r="Y67" s="58"/>
      <c r="Z67" s="58"/>
      <c r="AA67" s="58"/>
      <c r="AB67" s="58"/>
    </row>
    <row r="68" spans="4:28" ht="13.5" customHeight="1">
      <c r="D68" s="58"/>
      <c r="E68" s="58"/>
      <c r="F68" s="58"/>
      <c r="G68" s="58"/>
      <c r="H68" s="58"/>
      <c r="I68" s="58"/>
      <c r="J68" s="58"/>
      <c r="K68" s="58"/>
      <c r="L68" s="58"/>
      <c r="M68" s="58"/>
      <c r="N68" s="58"/>
      <c r="O68" s="58"/>
      <c r="P68" s="58"/>
      <c r="Q68" s="58"/>
      <c r="R68" s="58"/>
      <c r="S68" s="58"/>
      <c r="T68" s="58"/>
      <c r="U68" s="58"/>
      <c r="V68" s="58"/>
      <c r="W68" s="58"/>
      <c r="X68" s="58"/>
      <c r="Y68" s="58"/>
      <c r="Z68" s="58"/>
      <c r="AA68" s="58"/>
      <c r="AB68" s="58"/>
    </row>
    <row r="69" spans="4:28" ht="13.5" customHeight="1">
      <c r="D69" s="58"/>
      <c r="E69" s="58"/>
      <c r="F69" s="58"/>
      <c r="G69" s="58"/>
      <c r="H69" s="58"/>
      <c r="I69" s="58"/>
      <c r="J69" s="58"/>
      <c r="K69" s="58"/>
      <c r="L69" s="58"/>
      <c r="M69" s="58"/>
      <c r="N69" s="58"/>
      <c r="O69" s="58"/>
      <c r="P69" s="58"/>
      <c r="Q69" s="58"/>
      <c r="R69" s="58"/>
      <c r="S69" s="58"/>
      <c r="T69" s="58"/>
      <c r="U69" s="58"/>
      <c r="V69" s="58"/>
      <c r="W69" s="58"/>
      <c r="X69" s="58"/>
      <c r="Y69" s="58"/>
      <c r="Z69" s="58"/>
      <c r="AA69" s="58"/>
      <c r="AB69" s="58"/>
    </row>
    <row r="70" spans="4:28" ht="13.5" customHeight="1">
      <c r="D70" s="58"/>
      <c r="E70" s="58"/>
      <c r="F70" s="58"/>
      <c r="G70" s="58"/>
      <c r="H70" s="58"/>
      <c r="I70" s="58"/>
      <c r="J70" s="58"/>
      <c r="K70" s="58"/>
      <c r="L70" s="58"/>
      <c r="M70" s="58"/>
      <c r="N70" s="58"/>
      <c r="O70" s="58"/>
      <c r="P70" s="58"/>
      <c r="Q70" s="58"/>
      <c r="R70" s="58"/>
      <c r="S70" s="58"/>
      <c r="T70" s="58"/>
      <c r="U70" s="58"/>
      <c r="V70" s="58"/>
      <c r="W70" s="58"/>
      <c r="X70" s="58"/>
      <c r="Y70" s="58"/>
      <c r="Z70" s="58"/>
      <c r="AA70" s="58"/>
      <c r="AB70" s="58"/>
    </row>
    <row r="71" spans="4:28" ht="13.5" customHeight="1">
      <c r="D71" s="58"/>
      <c r="E71" s="58"/>
      <c r="F71" s="58"/>
      <c r="G71" s="58"/>
      <c r="H71" s="58"/>
      <c r="I71" s="58"/>
      <c r="J71" s="58"/>
      <c r="K71" s="58"/>
      <c r="L71" s="58"/>
      <c r="M71" s="58"/>
      <c r="N71" s="58"/>
      <c r="O71" s="58"/>
      <c r="P71" s="58"/>
      <c r="Q71" s="58"/>
      <c r="R71" s="58"/>
      <c r="S71" s="58"/>
      <c r="T71" s="58"/>
      <c r="U71" s="58"/>
      <c r="V71" s="58"/>
      <c r="W71" s="58"/>
      <c r="X71" s="58"/>
      <c r="Y71" s="58"/>
      <c r="Z71" s="58"/>
      <c r="AA71" s="58"/>
      <c r="AB71" s="58"/>
    </row>
    <row r="72" spans="4:28" ht="13.5" customHeight="1">
      <c r="D72" s="58"/>
      <c r="E72" s="58"/>
      <c r="F72" s="58"/>
      <c r="G72" s="58"/>
      <c r="H72" s="58"/>
      <c r="I72" s="58"/>
      <c r="J72" s="58"/>
      <c r="K72" s="58"/>
      <c r="L72" s="58"/>
      <c r="M72" s="58"/>
      <c r="N72" s="58"/>
      <c r="O72" s="58"/>
      <c r="P72" s="58"/>
      <c r="Q72" s="58"/>
      <c r="R72" s="58"/>
      <c r="S72" s="58"/>
      <c r="T72" s="58"/>
      <c r="U72" s="58"/>
      <c r="V72" s="58"/>
      <c r="W72" s="58"/>
      <c r="X72" s="58"/>
      <c r="Y72" s="58"/>
      <c r="Z72" s="58"/>
      <c r="AA72" s="58"/>
      <c r="AB72" s="58"/>
    </row>
    <row r="73" spans="4:28" ht="13.5" customHeight="1">
      <c r="D73" s="58"/>
      <c r="E73" s="58"/>
      <c r="F73" s="58"/>
      <c r="G73" s="58"/>
      <c r="H73" s="58"/>
      <c r="I73" s="58"/>
      <c r="J73" s="58"/>
      <c r="K73" s="58"/>
      <c r="L73" s="58"/>
      <c r="M73" s="58"/>
      <c r="N73" s="58"/>
      <c r="O73" s="58"/>
      <c r="P73" s="58"/>
      <c r="Q73" s="58"/>
      <c r="R73" s="58"/>
      <c r="S73" s="58"/>
      <c r="T73" s="58"/>
      <c r="U73" s="58"/>
      <c r="V73" s="58"/>
      <c r="W73" s="58"/>
      <c r="X73" s="58"/>
      <c r="Y73" s="58"/>
      <c r="Z73" s="58"/>
      <c r="AA73" s="58"/>
      <c r="AB73" s="58"/>
    </row>
    <row r="74" spans="4:28" ht="13.5" customHeight="1">
      <c r="D74" s="58"/>
      <c r="E74" s="58"/>
      <c r="F74" s="58"/>
      <c r="G74" s="58"/>
      <c r="H74" s="58"/>
      <c r="I74" s="58"/>
      <c r="J74" s="58"/>
      <c r="K74" s="58"/>
      <c r="L74" s="58"/>
      <c r="M74" s="58"/>
      <c r="N74" s="58"/>
      <c r="O74" s="58"/>
      <c r="P74" s="58"/>
      <c r="Q74" s="58"/>
      <c r="R74" s="58"/>
      <c r="S74" s="58"/>
      <c r="T74" s="58"/>
      <c r="U74" s="58"/>
      <c r="V74" s="58"/>
      <c r="W74" s="58"/>
      <c r="X74" s="58"/>
      <c r="Y74" s="58"/>
      <c r="Z74" s="58"/>
      <c r="AA74" s="58"/>
      <c r="AB74" s="58"/>
    </row>
    <row r="75" spans="4:28" ht="13.5" customHeight="1">
      <c r="D75" s="58"/>
      <c r="E75" s="58"/>
      <c r="F75" s="58"/>
      <c r="G75" s="58"/>
      <c r="H75" s="58"/>
      <c r="I75" s="58"/>
      <c r="J75" s="58"/>
      <c r="K75" s="58"/>
      <c r="L75" s="58"/>
      <c r="M75" s="58"/>
      <c r="N75" s="58"/>
      <c r="O75" s="58"/>
      <c r="P75" s="58"/>
      <c r="Q75" s="58"/>
      <c r="R75" s="58"/>
      <c r="S75" s="58"/>
      <c r="T75" s="58"/>
      <c r="U75" s="58"/>
      <c r="V75" s="58"/>
      <c r="W75" s="58"/>
      <c r="X75" s="58"/>
      <c r="Y75" s="58"/>
      <c r="Z75" s="58"/>
      <c r="AA75" s="58"/>
      <c r="AB75" s="58"/>
    </row>
    <row r="76" spans="4:28" ht="13.5" customHeight="1">
      <c r="D76" s="58"/>
      <c r="E76" s="58"/>
      <c r="F76" s="58"/>
      <c r="G76" s="58"/>
      <c r="H76" s="58"/>
      <c r="I76" s="58"/>
      <c r="J76" s="58"/>
      <c r="K76" s="58"/>
      <c r="L76" s="58"/>
      <c r="M76" s="58"/>
      <c r="N76" s="58"/>
      <c r="O76" s="58"/>
      <c r="P76" s="58"/>
      <c r="Q76" s="58"/>
      <c r="R76" s="58"/>
      <c r="S76" s="58"/>
      <c r="T76" s="58"/>
      <c r="U76" s="58"/>
      <c r="V76" s="58"/>
      <c r="W76" s="58"/>
      <c r="X76" s="58"/>
      <c r="Y76" s="58"/>
      <c r="Z76" s="58"/>
      <c r="AA76" s="58"/>
      <c r="AB76" s="58"/>
    </row>
    <row r="77" spans="4:28" ht="13.5" customHeight="1">
      <c r="D77" s="58"/>
      <c r="E77" s="58"/>
      <c r="F77" s="58"/>
      <c r="G77" s="58"/>
      <c r="H77" s="58"/>
      <c r="I77" s="58"/>
      <c r="J77" s="58"/>
      <c r="K77" s="58"/>
      <c r="L77" s="58"/>
      <c r="M77" s="58"/>
      <c r="N77" s="58"/>
      <c r="O77" s="58"/>
      <c r="P77" s="58"/>
      <c r="Q77" s="58"/>
      <c r="R77" s="58"/>
      <c r="S77" s="58"/>
      <c r="T77" s="58"/>
      <c r="U77" s="58"/>
      <c r="V77" s="58"/>
      <c r="W77" s="58"/>
      <c r="X77" s="58"/>
      <c r="Y77" s="58"/>
      <c r="Z77" s="58"/>
      <c r="AA77" s="58"/>
      <c r="AB77" s="58"/>
    </row>
    <row r="78" spans="4:28" ht="13.5" customHeight="1">
      <c r="D78" s="58"/>
      <c r="E78" s="58"/>
      <c r="F78" s="58"/>
      <c r="G78" s="58"/>
      <c r="H78" s="58"/>
      <c r="I78" s="58"/>
      <c r="J78" s="58"/>
      <c r="K78" s="58"/>
      <c r="L78" s="58"/>
      <c r="M78" s="58"/>
      <c r="N78" s="58"/>
      <c r="O78" s="58"/>
      <c r="P78" s="58"/>
      <c r="Q78" s="58"/>
      <c r="R78" s="58"/>
      <c r="S78" s="58"/>
      <c r="T78" s="58"/>
      <c r="U78" s="58"/>
      <c r="V78" s="58"/>
      <c r="W78" s="58"/>
      <c r="X78" s="58"/>
      <c r="Y78" s="58"/>
      <c r="Z78" s="58"/>
      <c r="AA78" s="58"/>
      <c r="AB78" s="58"/>
    </row>
    <row r="79" spans="4:28" ht="13.5" customHeight="1">
      <c r="D79" s="58"/>
      <c r="E79" s="58"/>
      <c r="F79" s="58"/>
      <c r="G79" s="58"/>
      <c r="H79" s="58"/>
      <c r="I79" s="58"/>
      <c r="J79" s="58"/>
      <c r="K79" s="58"/>
      <c r="L79" s="58"/>
      <c r="M79" s="58"/>
      <c r="N79" s="58"/>
      <c r="O79" s="58"/>
      <c r="P79" s="58"/>
      <c r="Q79" s="58"/>
      <c r="R79" s="58"/>
      <c r="S79" s="58"/>
      <c r="T79" s="58"/>
      <c r="U79" s="58"/>
      <c r="V79" s="58"/>
      <c r="W79" s="58"/>
      <c r="X79" s="58"/>
      <c r="Y79" s="58"/>
      <c r="Z79" s="58"/>
      <c r="AA79" s="58"/>
      <c r="AB79" s="58"/>
    </row>
    <row r="80" spans="4:28" ht="13.5" customHeight="1">
      <c r="D80" s="58"/>
      <c r="E80" s="58"/>
      <c r="F80" s="58"/>
      <c r="G80" s="58"/>
      <c r="H80" s="58"/>
      <c r="I80" s="58"/>
      <c r="J80" s="58"/>
      <c r="K80" s="58"/>
      <c r="L80" s="58"/>
      <c r="M80" s="58"/>
      <c r="N80" s="58"/>
      <c r="O80" s="58"/>
      <c r="P80" s="58"/>
      <c r="Q80" s="58"/>
      <c r="R80" s="58"/>
      <c r="S80" s="58"/>
      <c r="T80" s="58"/>
      <c r="U80" s="58"/>
      <c r="V80" s="58"/>
      <c r="W80" s="58"/>
      <c r="X80" s="58"/>
      <c r="Y80" s="58"/>
      <c r="Z80" s="58"/>
      <c r="AA80" s="58"/>
      <c r="AB80" s="58"/>
    </row>
    <row r="81" spans="4:28" ht="13.5" customHeight="1">
      <c r="D81" s="58"/>
      <c r="E81" s="58"/>
      <c r="F81" s="58"/>
      <c r="G81" s="58"/>
      <c r="H81" s="58"/>
      <c r="I81" s="58"/>
      <c r="J81" s="58"/>
      <c r="K81" s="58"/>
      <c r="L81" s="58"/>
      <c r="M81" s="58"/>
      <c r="N81" s="58"/>
      <c r="O81" s="58"/>
      <c r="P81" s="58"/>
      <c r="Q81" s="58"/>
      <c r="R81" s="58"/>
      <c r="S81" s="58"/>
      <c r="T81" s="58"/>
      <c r="U81" s="58"/>
      <c r="V81" s="58"/>
      <c r="W81" s="58"/>
      <c r="X81" s="58"/>
      <c r="Y81" s="58"/>
      <c r="Z81" s="58"/>
      <c r="AA81" s="58"/>
      <c r="AB81" s="58"/>
    </row>
    <row r="82" spans="4:28" ht="13.5" customHeight="1">
      <c r="D82" s="58"/>
      <c r="E82" s="58"/>
      <c r="F82" s="58"/>
      <c r="G82" s="58"/>
      <c r="H82" s="58"/>
      <c r="I82" s="58"/>
      <c r="J82" s="58"/>
      <c r="K82" s="58"/>
      <c r="L82" s="58"/>
      <c r="M82" s="58"/>
      <c r="N82" s="58"/>
      <c r="O82" s="58"/>
      <c r="P82" s="58"/>
      <c r="Q82" s="58"/>
      <c r="R82" s="58"/>
      <c r="S82" s="58"/>
      <c r="T82" s="58"/>
      <c r="U82" s="58"/>
      <c r="V82" s="58"/>
      <c r="W82" s="58"/>
      <c r="X82" s="58"/>
      <c r="Y82" s="58"/>
      <c r="Z82" s="58"/>
      <c r="AA82" s="58"/>
      <c r="AB82" s="58"/>
    </row>
    <row r="83" spans="4:28" ht="13.5" customHeight="1">
      <c r="D83" s="58"/>
      <c r="E83" s="58"/>
      <c r="F83" s="58"/>
      <c r="G83" s="58"/>
      <c r="H83" s="58"/>
      <c r="I83" s="58"/>
      <c r="J83" s="58"/>
      <c r="K83" s="58"/>
      <c r="L83" s="58"/>
      <c r="M83" s="58"/>
      <c r="N83" s="58"/>
      <c r="O83" s="58"/>
      <c r="P83" s="58"/>
      <c r="Q83" s="58"/>
      <c r="R83" s="58"/>
      <c r="S83" s="58"/>
      <c r="T83" s="58"/>
      <c r="U83" s="58"/>
      <c r="V83" s="58"/>
      <c r="W83" s="58"/>
      <c r="X83" s="58"/>
      <c r="Y83" s="58"/>
      <c r="Z83" s="58"/>
      <c r="AA83" s="58"/>
      <c r="AB83" s="58"/>
    </row>
    <row r="84" spans="4:28" ht="13.5" customHeight="1">
      <c r="D84" s="58"/>
      <c r="E84" s="58"/>
      <c r="F84" s="58"/>
      <c r="G84" s="58"/>
      <c r="H84" s="58"/>
      <c r="I84" s="58"/>
      <c r="J84" s="58"/>
      <c r="K84" s="58"/>
      <c r="L84" s="58"/>
      <c r="M84" s="58"/>
      <c r="N84" s="58"/>
      <c r="O84" s="58"/>
      <c r="P84" s="58"/>
      <c r="Q84" s="58"/>
      <c r="R84" s="58"/>
      <c r="S84" s="58"/>
      <c r="T84" s="58"/>
      <c r="U84" s="58"/>
      <c r="V84" s="58"/>
      <c r="W84" s="58"/>
      <c r="X84" s="58"/>
      <c r="Y84" s="58"/>
      <c r="Z84" s="58"/>
      <c r="AA84" s="58"/>
      <c r="AB84" s="58"/>
    </row>
    <row r="85" spans="4:28" ht="13.5" customHeight="1"/>
    <row r="86" spans="4:28" ht="13.5" customHeight="1"/>
    <row r="87" spans="4:28" ht="13.5" customHeight="1"/>
    <row r="88" spans="4:28" ht="13.5" customHeight="1"/>
    <row r="89" spans="4:28" ht="13.5" customHeight="1"/>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84"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D7" sqref="D7"/>
    </sheetView>
  </sheetViews>
  <sheetFormatPr baseColWidth="10" defaultColWidth="10" defaultRowHeight="12.75"/>
  <cols>
    <col min="1" max="1" width="3.42578125" style="1" customWidth="1"/>
    <col min="2" max="2" width="13.7109375" style="1" customWidth="1"/>
    <col min="3" max="3" width="5.85546875" style="1" customWidth="1"/>
    <col min="4" max="4" width="8.5703125" style="1" customWidth="1"/>
    <col min="5" max="5" width="9.7109375" style="1" customWidth="1"/>
    <col min="6" max="6" width="4.42578125" style="1" customWidth="1"/>
    <col min="7" max="7" width="0.28515625" style="1" customWidth="1"/>
    <col min="8" max="8" width="2.28515625" style="1" customWidth="1"/>
    <col min="9" max="9" width="6.5703125" style="1" customWidth="1"/>
    <col min="10" max="10" width="7.85546875" style="1" customWidth="1"/>
    <col min="11" max="11" width="9.42578125" style="1" customWidth="1"/>
    <col min="12" max="12" width="7.7109375" style="1" customWidth="1"/>
    <col min="13" max="13" width="6.140625" style="1" customWidth="1"/>
    <col min="14" max="14" width="8.28515625" style="1" customWidth="1"/>
    <col min="15" max="15" width="11.140625" style="1" customWidth="1"/>
    <col min="16" max="16" width="11.5703125" style="1" customWidth="1"/>
    <col min="17" max="17" width="12.140625" style="1" customWidth="1"/>
    <col min="18" max="18" width="9" style="1" customWidth="1"/>
    <col min="19" max="19" width="13" style="1" customWidth="1"/>
    <col min="20" max="20" width="10.7109375" style="1" customWidth="1"/>
    <col min="21" max="21" width="10.42578125" style="1" customWidth="1"/>
    <col min="22" max="22" width="11.42578125" style="1" customWidth="1"/>
    <col min="23" max="23" width="10.7109375" style="1" customWidth="1"/>
    <col min="24" max="24" width="8.42578125" style="1" customWidth="1"/>
    <col min="25" max="25" width="8.7109375" style="1" customWidth="1"/>
    <col min="26" max="26" width="9.5703125" style="1" customWidth="1"/>
    <col min="27" max="29" width="10" style="1"/>
    <col min="30" max="30" width="15.42578125" style="1" customWidth="1"/>
    <col min="31" max="16384" width="10" style="1"/>
  </cols>
  <sheetData>
    <row r="1" spans="1:34" s="2" customFormat="1" ht="48" customHeight="1">
      <c r="A1" s="3"/>
      <c r="B1" s="98" t="s">
        <v>583</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491</v>
      </c>
      <c r="D4" s="99" t="s">
        <v>492</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v>
      </c>
      <c r="D6" s="80"/>
      <c r="E6" s="80"/>
      <c r="F6" s="80"/>
      <c r="G6" s="80"/>
      <c r="H6" s="18"/>
      <c r="I6" s="18"/>
      <c r="J6" s="18" t="s">
        <v>18</v>
      </c>
      <c r="K6" s="80" t="s">
        <v>273</v>
      </c>
      <c r="L6" s="80"/>
      <c r="M6" s="80"/>
      <c r="N6" s="19"/>
      <c r="O6" s="20" t="s">
        <v>20</v>
      </c>
      <c r="P6" s="80" t="s">
        <v>469</v>
      </c>
      <c r="Q6" s="80"/>
      <c r="R6" s="21"/>
      <c r="S6" s="20" t="s">
        <v>22</v>
      </c>
      <c r="T6" s="80" t="s">
        <v>470</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c r="A11" s="25"/>
      <c r="B11" s="26" t="s">
        <v>38</v>
      </c>
      <c r="C11" s="73" t="s">
        <v>471</v>
      </c>
      <c r="D11" s="73"/>
      <c r="E11" s="73"/>
      <c r="F11" s="73"/>
      <c r="G11" s="73"/>
      <c r="H11" s="73"/>
      <c r="I11" s="73" t="s">
        <v>493</v>
      </c>
      <c r="J11" s="73"/>
      <c r="K11" s="73"/>
      <c r="L11" s="73" t="s">
        <v>494</v>
      </c>
      <c r="M11" s="73"/>
      <c r="N11" s="73"/>
      <c r="O11" s="73"/>
      <c r="P11" s="27" t="s">
        <v>47</v>
      </c>
      <c r="Q11" s="27" t="s">
        <v>43</v>
      </c>
      <c r="R11" s="27">
        <v>6.91</v>
      </c>
      <c r="S11" s="27">
        <v>6.91</v>
      </c>
      <c r="T11" s="27">
        <v>7.25</v>
      </c>
      <c r="U11" s="28">
        <f>IF(ISERR(T11/S11*100),"N/A",T11/S11*100)</f>
        <v>104.92040520984081</v>
      </c>
    </row>
    <row r="12" spans="1:34" ht="75" customHeight="1" thickBot="1">
      <c r="A12" s="25"/>
      <c r="B12" s="29" t="s">
        <v>44</v>
      </c>
      <c r="C12" s="72" t="s">
        <v>44</v>
      </c>
      <c r="D12" s="72"/>
      <c r="E12" s="72"/>
      <c r="F12" s="72"/>
      <c r="G12" s="72"/>
      <c r="H12" s="72"/>
      <c r="I12" s="72" t="s">
        <v>474</v>
      </c>
      <c r="J12" s="72"/>
      <c r="K12" s="72"/>
      <c r="L12" s="72" t="s">
        <v>475</v>
      </c>
      <c r="M12" s="72"/>
      <c r="N12" s="72"/>
      <c r="O12" s="72"/>
      <c r="P12" s="30" t="s">
        <v>476</v>
      </c>
      <c r="Q12" s="30" t="s">
        <v>43</v>
      </c>
      <c r="R12" s="31">
        <v>65</v>
      </c>
      <c r="S12" s="31" t="s">
        <v>49</v>
      </c>
      <c r="T12" s="31">
        <v>65.3</v>
      </c>
      <c r="U12" s="32" t="str">
        <f>IF(ISERR(T12/S12*100),"N/A",T12/S12*100)</f>
        <v>N/A</v>
      </c>
    </row>
    <row r="13" spans="1:34" ht="75" customHeight="1" thickTop="1" thickBot="1">
      <c r="A13" s="25"/>
      <c r="B13" s="26" t="s">
        <v>62</v>
      </c>
      <c r="C13" s="73" t="s">
        <v>495</v>
      </c>
      <c r="D13" s="73"/>
      <c r="E13" s="73"/>
      <c r="F13" s="73"/>
      <c r="G13" s="73"/>
      <c r="H13" s="73"/>
      <c r="I13" s="73" t="s">
        <v>496</v>
      </c>
      <c r="J13" s="73"/>
      <c r="K13" s="73"/>
      <c r="L13" s="73" t="s">
        <v>497</v>
      </c>
      <c r="M13" s="73"/>
      <c r="N13" s="73"/>
      <c r="O13" s="73"/>
      <c r="P13" s="27" t="s">
        <v>47</v>
      </c>
      <c r="Q13" s="27" t="s">
        <v>43</v>
      </c>
      <c r="R13" s="27">
        <v>99</v>
      </c>
      <c r="S13" s="27">
        <v>99</v>
      </c>
      <c r="T13" s="27">
        <v>100</v>
      </c>
      <c r="U13" s="28">
        <f>IF(ISERR(T13/S13*100),"N/A",T13/S13*100)</f>
        <v>101.01010101010101</v>
      </c>
    </row>
    <row r="14" spans="1:34" ht="75" customHeight="1" thickTop="1" thickBot="1">
      <c r="A14" s="25"/>
      <c r="B14" s="26" t="s">
        <v>71</v>
      </c>
      <c r="C14" s="73" t="s">
        <v>498</v>
      </c>
      <c r="D14" s="73"/>
      <c r="E14" s="73"/>
      <c r="F14" s="73"/>
      <c r="G14" s="73"/>
      <c r="H14" s="73"/>
      <c r="I14" s="73" t="s">
        <v>499</v>
      </c>
      <c r="J14" s="73"/>
      <c r="K14" s="73"/>
      <c r="L14" s="73" t="s">
        <v>482</v>
      </c>
      <c r="M14" s="73"/>
      <c r="N14" s="73"/>
      <c r="O14" s="73"/>
      <c r="P14" s="27" t="s">
        <v>47</v>
      </c>
      <c r="Q14" s="27" t="s">
        <v>75</v>
      </c>
      <c r="R14" s="27">
        <v>97</v>
      </c>
      <c r="S14" s="27">
        <v>97</v>
      </c>
      <c r="T14" s="27">
        <v>98.38</v>
      </c>
      <c r="U14" s="28">
        <f>IF(ISERR(T14/S14*100),"N/A",T14/S14*100)</f>
        <v>101.42268041237112</v>
      </c>
    </row>
    <row r="15" spans="1:34" ht="75" customHeight="1" thickTop="1" thickBot="1">
      <c r="A15" s="25"/>
      <c r="B15" s="26" t="s">
        <v>87</v>
      </c>
      <c r="C15" s="73" t="s">
        <v>500</v>
      </c>
      <c r="D15" s="73"/>
      <c r="E15" s="73"/>
      <c r="F15" s="73"/>
      <c r="G15" s="73"/>
      <c r="H15" s="73"/>
      <c r="I15" s="73" t="s">
        <v>484</v>
      </c>
      <c r="J15" s="73"/>
      <c r="K15" s="73"/>
      <c r="L15" s="73" t="s">
        <v>485</v>
      </c>
      <c r="M15" s="73"/>
      <c r="N15" s="73"/>
      <c r="O15" s="73"/>
      <c r="P15" s="27" t="s">
        <v>47</v>
      </c>
      <c r="Q15" s="27" t="s">
        <v>291</v>
      </c>
      <c r="R15" s="27">
        <v>98</v>
      </c>
      <c r="S15" s="27">
        <v>98</v>
      </c>
      <c r="T15" s="27">
        <v>98.1</v>
      </c>
      <c r="U15" s="28">
        <f>IF(ISERR(T15/S15*100),"N/A",T15/S15*100)</f>
        <v>100.10204081632652</v>
      </c>
    </row>
    <row r="16" spans="1:34" ht="22.5" customHeight="1" thickTop="1" thickBot="1">
      <c r="B16" s="8" t="s">
        <v>98</v>
      </c>
      <c r="C16" s="9"/>
      <c r="D16" s="9"/>
      <c r="E16" s="9"/>
      <c r="F16" s="9"/>
      <c r="G16" s="9"/>
      <c r="H16" s="10"/>
      <c r="I16" s="10"/>
      <c r="J16" s="10"/>
      <c r="K16" s="10"/>
      <c r="L16" s="10"/>
      <c r="M16" s="10"/>
      <c r="N16" s="10"/>
      <c r="O16" s="10"/>
      <c r="P16" s="10"/>
      <c r="Q16" s="10"/>
      <c r="R16" s="10"/>
      <c r="S16" s="10"/>
      <c r="T16" s="10"/>
      <c r="U16" s="11"/>
      <c r="V16" s="33"/>
    </row>
    <row r="17" spans="2:21" ht="26.25" customHeight="1" thickTop="1">
      <c r="B17" s="34"/>
      <c r="C17" s="35"/>
      <c r="D17" s="35"/>
      <c r="E17" s="35"/>
      <c r="F17" s="35"/>
      <c r="G17" s="35"/>
      <c r="H17" s="36"/>
      <c r="I17" s="36"/>
      <c r="J17" s="36"/>
      <c r="K17" s="36"/>
      <c r="L17" s="36"/>
      <c r="M17" s="36"/>
      <c r="N17" s="36"/>
      <c r="O17" s="36"/>
      <c r="P17" s="37"/>
      <c r="Q17" s="38"/>
      <c r="R17" s="39" t="s">
        <v>99</v>
      </c>
      <c r="S17" s="22" t="s">
        <v>100</v>
      </c>
      <c r="T17" s="39" t="s">
        <v>101</v>
      </c>
      <c r="U17" s="22" t="s">
        <v>102</v>
      </c>
    </row>
    <row r="18" spans="2:21" ht="26.25" customHeight="1" thickBot="1">
      <c r="B18" s="40"/>
      <c r="C18" s="41"/>
      <c r="D18" s="41"/>
      <c r="E18" s="41"/>
      <c r="F18" s="41"/>
      <c r="G18" s="41"/>
      <c r="H18" s="42"/>
      <c r="I18" s="42"/>
      <c r="J18" s="42"/>
      <c r="K18" s="42"/>
      <c r="L18" s="42"/>
      <c r="M18" s="42"/>
      <c r="N18" s="42"/>
      <c r="O18" s="42"/>
      <c r="P18" s="43"/>
      <c r="Q18" s="44"/>
      <c r="R18" s="45" t="s">
        <v>103</v>
      </c>
      <c r="S18" s="44" t="s">
        <v>103</v>
      </c>
      <c r="T18" s="44" t="s">
        <v>103</v>
      </c>
      <c r="U18" s="44" t="s">
        <v>104</v>
      </c>
    </row>
    <row r="19" spans="2:21" ht="13.5" customHeight="1" thickBot="1">
      <c r="B19" s="65" t="s">
        <v>105</v>
      </c>
      <c r="C19" s="66"/>
      <c r="D19" s="66"/>
      <c r="E19" s="46"/>
      <c r="F19" s="46"/>
      <c r="G19" s="46"/>
      <c r="H19" s="47"/>
      <c r="I19" s="47"/>
      <c r="J19" s="47"/>
      <c r="K19" s="47"/>
      <c r="L19" s="47"/>
      <c r="M19" s="47"/>
      <c r="N19" s="47"/>
      <c r="O19" s="47"/>
      <c r="P19" s="48"/>
      <c r="Q19" s="48"/>
      <c r="R19" s="49">
        <f>15433.538091</f>
        <v>15433.538091</v>
      </c>
      <c r="S19" s="49">
        <f>11323.974589</f>
        <v>11323.974588999999</v>
      </c>
      <c r="T19" s="49">
        <f>12461.6339131</f>
        <v>12461.6339131</v>
      </c>
      <c r="U19" s="50">
        <f>+IF(ISERR(T19/S19*100),"N/A",T19/S19*100)</f>
        <v>110.046466593144</v>
      </c>
    </row>
    <row r="20" spans="2:21" ht="13.5" customHeight="1" thickBot="1">
      <c r="B20" s="67" t="s">
        <v>106</v>
      </c>
      <c r="C20" s="68"/>
      <c r="D20" s="68"/>
      <c r="E20" s="51"/>
      <c r="F20" s="51"/>
      <c r="G20" s="51"/>
      <c r="H20" s="52"/>
      <c r="I20" s="52"/>
      <c r="J20" s="52"/>
      <c r="K20" s="52"/>
      <c r="L20" s="52"/>
      <c r="M20" s="52"/>
      <c r="N20" s="52"/>
      <c r="O20" s="52"/>
      <c r="P20" s="53"/>
      <c r="Q20" s="53"/>
      <c r="R20" s="49">
        <f>15700.611767</f>
        <v>15700.611767</v>
      </c>
      <c r="S20" s="49">
        <f>11928.555446</f>
        <v>11928.555446</v>
      </c>
      <c r="T20" s="49">
        <f>12461.6339131</f>
        <v>12461.6339131</v>
      </c>
      <c r="U20" s="50">
        <f>+IF(ISERR(T20/S20*100),"N/A",T20/S20*100)</f>
        <v>104.46892726879815</v>
      </c>
    </row>
    <row r="21" spans="2:21" ht="14.85" customHeight="1" thickTop="1" thickBot="1">
      <c r="B21" s="8" t="s">
        <v>107</v>
      </c>
      <c r="C21" s="9"/>
      <c r="D21" s="9"/>
      <c r="E21" s="9"/>
      <c r="F21" s="9"/>
      <c r="G21" s="9"/>
      <c r="H21" s="10"/>
      <c r="I21" s="10"/>
      <c r="J21" s="10"/>
      <c r="K21" s="10"/>
      <c r="L21" s="10"/>
      <c r="M21" s="10"/>
      <c r="N21" s="10"/>
      <c r="O21" s="10"/>
      <c r="P21" s="10"/>
      <c r="Q21" s="10"/>
      <c r="R21" s="10"/>
      <c r="S21" s="10"/>
      <c r="T21" s="10"/>
      <c r="U21" s="11"/>
    </row>
    <row r="22" spans="2:21" ht="44.25" customHeight="1" thickTop="1">
      <c r="B22" s="69" t="s">
        <v>108</v>
      </c>
      <c r="C22" s="70"/>
      <c r="D22" s="70"/>
      <c r="E22" s="70"/>
      <c r="F22" s="70"/>
      <c r="G22" s="70"/>
      <c r="H22" s="70"/>
      <c r="I22" s="70"/>
      <c r="J22" s="70"/>
      <c r="K22" s="70"/>
      <c r="L22" s="70"/>
      <c r="M22" s="70"/>
      <c r="N22" s="70"/>
      <c r="O22" s="70"/>
      <c r="P22" s="70"/>
      <c r="Q22" s="70"/>
      <c r="R22" s="70"/>
      <c r="S22" s="70"/>
      <c r="T22" s="70"/>
      <c r="U22" s="71"/>
    </row>
    <row r="23" spans="2:21" ht="101.45" customHeight="1">
      <c r="B23" s="59" t="s">
        <v>501</v>
      </c>
      <c r="C23" s="60"/>
      <c r="D23" s="60"/>
      <c r="E23" s="60"/>
      <c r="F23" s="60"/>
      <c r="G23" s="60"/>
      <c r="H23" s="60"/>
      <c r="I23" s="60"/>
      <c r="J23" s="60"/>
      <c r="K23" s="60"/>
      <c r="L23" s="60"/>
      <c r="M23" s="60"/>
      <c r="N23" s="60"/>
      <c r="O23" s="60"/>
      <c r="P23" s="60"/>
      <c r="Q23" s="60"/>
      <c r="R23" s="60"/>
      <c r="S23" s="60"/>
      <c r="T23" s="60"/>
      <c r="U23" s="61"/>
    </row>
    <row r="24" spans="2:21" ht="34.5" customHeight="1">
      <c r="B24" s="59" t="s">
        <v>487</v>
      </c>
      <c r="C24" s="60"/>
      <c r="D24" s="60"/>
      <c r="E24" s="60"/>
      <c r="F24" s="60"/>
      <c r="G24" s="60"/>
      <c r="H24" s="60"/>
      <c r="I24" s="60"/>
      <c r="J24" s="60"/>
      <c r="K24" s="60"/>
      <c r="L24" s="60"/>
      <c r="M24" s="60"/>
      <c r="N24" s="60"/>
      <c r="O24" s="60"/>
      <c r="P24" s="60"/>
      <c r="Q24" s="60"/>
      <c r="R24" s="60"/>
      <c r="S24" s="60"/>
      <c r="T24" s="60"/>
      <c r="U24" s="61"/>
    </row>
    <row r="25" spans="2:21" ht="42.6" customHeight="1">
      <c r="B25" s="59" t="s">
        <v>502</v>
      </c>
      <c r="C25" s="60"/>
      <c r="D25" s="60"/>
      <c r="E25" s="60"/>
      <c r="F25" s="60"/>
      <c r="G25" s="60"/>
      <c r="H25" s="60"/>
      <c r="I25" s="60"/>
      <c r="J25" s="60"/>
      <c r="K25" s="60"/>
      <c r="L25" s="60"/>
      <c r="M25" s="60"/>
      <c r="N25" s="60"/>
      <c r="O25" s="60"/>
      <c r="P25" s="60"/>
      <c r="Q25" s="60"/>
      <c r="R25" s="60"/>
      <c r="S25" s="60"/>
      <c r="T25" s="60"/>
      <c r="U25" s="61"/>
    </row>
    <row r="26" spans="2:21" ht="44.45" customHeight="1">
      <c r="B26" s="59" t="s">
        <v>503</v>
      </c>
      <c r="C26" s="60"/>
      <c r="D26" s="60"/>
      <c r="E26" s="60"/>
      <c r="F26" s="60"/>
      <c r="G26" s="60"/>
      <c r="H26" s="60"/>
      <c r="I26" s="60"/>
      <c r="J26" s="60"/>
      <c r="K26" s="60"/>
      <c r="L26" s="60"/>
      <c r="M26" s="60"/>
      <c r="N26" s="60"/>
      <c r="O26" s="60"/>
      <c r="P26" s="60"/>
      <c r="Q26" s="60"/>
      <c r="R26" s="60"/>
      <c r="S26" s="60"/>
      <c r="T26" s="60"/>
      <c r="U26" s="61"/>
    </row>
    <row r="27" spans="2:21" ht="17.100000000000001" customHeight="1" thickBot="1">
      <c r="B27" s="62" t="s">
        <v>490</v>
      </c>
      <c r="C27" s="63"/>
      <c r="D27" s="63"/>
      <c r="E27" s="63"/>
      <c r="F27" s="63"/>
      <c r="G27" s="63"/>
      <c r="H27" s="63"/>
      <c r="I27" s="63"/>
      <c r="J27" s="63"/>
      <c r="K27" s="63"/>
      <c r="L27" s="63"/>
      <c r="M27" s="63"/>
      <c r="N27" s="63"/>
      <c r="O27" s="63"/>
      <c r="P27" s="63"/>
      <c r="Q27" s="63"/>
      <c r="R27" s="63"/>
      <c r="S27" s="63"/>
      <c r="T27" s="63"/>
      <c r="U27" s="64"/>
    </row>
  </sheetData>
  <mergeCells count="4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6:U26"/>
    <mergeCell ref="B27:U27"/>
    <mergeCell ref="B19:D19"/>
    <mergeCell ref="B20:D20"/>
    <mergeCell ref="B22:U22"/>
    <mergeCell ref="B23:U23"/>
    <mergeCell ref="B24:U24"/>
    <mergeCell ref="B25:U25"/>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J7" sqref="J7"/>
    </sheetView>
  </sheetViews>
  <sheetFormatPr baseColWidth="10" defaultColWidth="10" defaultRowHeight="12.75"/>
  <cols>
    <col min="1" max="1" width="3.42578125" style="1" customWidth="1"/>
    <col min="2" max="2" width="13.7109375" style="1" customWidth="1"/>
    <col min="3" max="3" width="5.85546875" style="1" customWidth="1"/>
    <col min="4" max="4" width="8.5703125" style="1" customWidth="1"/>
    <col min="5" max="5" width="9.7109375" style="1" customWidth="1"/>
    <col min="6" max="6" width="4.42578125" style="1" customWidth="1"/>
    <col min="7" max="7" width="0.28515625" style="1" customWidth="1"/>
    <col min="8" max="8" width="2.28515625" style="1" customWidth="1"/>
    <col min="9" max="9" width="6.5703125" style="1" customWidth="1"/>
    <col min="10" max="10" width="7.85546875" style="1" customWidth="1"/>
    <col min="11" max="11" width="9.42578125" style="1" customWidth="1"/>
    <col min="12" max="12" width="7.7109375" style="1" customWidth="1"/>
    <col min="13" max="13" width="6.140625" style="1" customWidth="1"/>
    <col min="14" max="14" width="8.28515625" style="1" customWidth="1"/>
    <col min="15" max="15" width="11.140625" style="1" customWidth="1"/>
    <col min="16" max="16" width="11.5703125" style="1" customWidth="1"/>
    <col min="17" max="17" width="12.140625" style="1" customWidth="1"/>
    <col min="18" max="18" width="9" style="1" customWidth="1"/>
    <col min="19" max="19" width="13" style="1" customWidth="1"/>
    <col min="20" max="20" width="10.7109375" style="1" customWidth="1"/>
    <col min="21" max="21" width="10.42578125" style="1" customWidth="1"/>
    <col min="22" max="22" width="11.42578125" style="1" customWidth="1"/>
    <col min="23" max="23" width="10.7109375" style="1" customWidth="1"/>
    <col min="24" max="24" width="8.42578125" style="1" customWidth="1"/>
    <col min="25" max="25" width="8.7109375" style="1" customWidth="1"/>
    <col min="26" max="26" width="9.5703125" style="1" customWidth="1"/>
    <col min="27" max="29" width="10" style="1"/>
    <col min="30" max="30" width="15.42578125" style="1" customWidth="1"/>
    <col min="31" max="16384" width="10" style="1"/>
  </cols>
  <sheetData>
    <row r="1" spans="1:34" s="2" customFormat="1" ht="48" customHeight="1">
      <c r="A1" s="3"/>
      <c r="B1" s="98" t="s">
        <v>583</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504</v>
      </c>
      <c r="D4" s="99" t="s">
        <v>505</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v>
      </c>
      <c r="D6" s="80"/>
      <c r="E6" s="80"/>
      <c r="F6" s="80"/>
      <c r="G6" s="80"/>
      <c r="H6" s="18"/>
      <c r="I6" s="18"/>
      <c r="J6" s="18" t="s">
        <v>18</v>
      </c>
      <c r="K6" s="80" t="s">
        <v>273</v>
      </c>
      <c r="L6" s="80"/>
      <c r="M6" s="80"/>
      <c r="N6" s="19"/>
      <c r="O6" s="20" t="s">
        <v>20</v>
      </c>
      <c r="P6" s="80" t="s">
        <v>506</v>
      </c>
      <c r="Q6" s="80"/>
      <c r="R6" s="21"/>
      <c r="S6" s="20" t="s">
        <v>22</v>
      </c>
      <c r="T6" s="80" t="s">
        <v>470</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c r="A11" s="25"/>
      <c r="B11" s="26" t="s">
        <v>38</v>
      </c>
      <c r="C11" s="73" t="s">
        <v>507</v>
      </c>
      <c r="D11" s="73"/>
      <c r="E11" s="73"/>
      <c r="F11" s="73"/>
      <c r="G11" s="73"/>
      <c r="H11" s="73"/>
      <c r="I11" s="73" t="s">
        <v>508</v>
      </c>
      <c r="J11" s="73"/>
      <c r="K11" s="73"/>
      <c r="L11" s="73" t="s">
        <v>509</v>
      </c>
      <c r="M11" s="73"/>
      <c r="N11" s="73"/>
      <c r="O11" s="73"/>
      <c r="P11" s="27" t="s">
        <v>476</v>
      </c>
      <c r="Q11" s="27" t="s">
        <v>43</v>
      </c>
      <c r="R11" s="54">
        <v>40</v>
      </c>
      <c r="S11" s="54" t="s">
        <v>49</v>
      </c>
      <c r="T11" s="54">
        <v>35.200000000000003</v>
      </c>
      <c r="U11" s="28" t="str">
        <f>IF(ISERR(T11/S11*100),"N/A",T11/S11*100)</f>
        <v>N/A</v>
      </c>
    </row>
    <row r="12" spans="1:34" ht="75" customHeight="1" thickBot="1">
      <c r="A12" s="25"/>
      <c r="B12" s="29" t="s">
        <v>44</v>
      </c>
      <c r="C12" s="72" t="s">
        <v>44</v>
      </c>
      <c r="D12" s="72"/>
      <c r="E12" s="72"/>
      <c r="F12" s="72"/>
      <c r="G12" s="72"/>
      <c r="H12" s="72"/>
      <c r="I12" s="72" t="s">
        <v>510</v>
      </c>
      <c r="J12" s="72"/>
      <c r="K12" s="72"/>
      <c r="L12" s="72" t="s">
        <v>511</v>
      </c>
      <c r="M12" s="72"/>
      <c r="N12" s="72"/>
      <c r="O12" s="72"/>
      <c r="P12" s="30" t="s">
        <v>47</v>
      </c>
      <c r="Q12" s="30" t="s">
        <v>43</v>
      </c>
      <c r="R12" s="30">
        <v>0.81</v>
      </c>
      <c r="S12" s="30">
        <v>0.81</v>
      </c>
      <c r="T12" s="30">
        <v>0.8</v>
      </c>
      <c r="U12" s="32">
        <f>IF(ISERR((S12-T12)*100/S12+100),"N/A",(S12-T12)*100/S12+100)</f>
        <v>101.23456790123457</v>
      </c>
    </row>
    <row r="13" spans="1:34" ht="75" customHeight="1" thickTop="1" thickBot="1">
      <c r="A13" s="25"/>
      <c r="B13" s="26" t="s">
        <v>62</v>
      </c>
      <c r="C13" s="73" t="s">
        <v>512</v>
      </c>
      <c r="D13" s="73"/>
      <c r="E13" s="73"/>
      <c r="F13" s="73"/>
      <c r="G13" s="73"/>
      <c r="H13" s="73"/>
      <c r="I13" s="73" t="s">
        <v>513</v>
      </c>
      <c r="J13" s="73"/>
      <c r="K13" s="73"/>
      <c r="L13" s="73" t="s">
        <v>514</v>
      </c>
      <c r="M13" s="73"/>
      <c r="N13" s="73"/>
      <c r="O13" s="73"/>
      <c r="P13" s="27" t="s">
        <v>47</v>
      </c>
      <c r="Q13" s="27" t="s">
        <v>43</v>
      </c>
      <c r="R13" s="27">
        <v>96</v>
      </c>
      <c r="S13" s="27">
        <v>96</v>
      </c>
      <c r="T13" s="27">
        <v>98.77</v>
      </c>
      <c r="U13" s="28">
        <f>IF(ISERR(T13/S13*100),"N/A",T13/S13*100)</f>
        <v>102.88541666666666</v>
      </c>
    </row>
    <row r="14" spans="1:34" ht="75" customHeight="1" thickTop="1" thickBot="1">
      <c r="A14" s="25"/>
      <c r="B14" s="26" t="s">
        <v>71</v>
      </c>
      <c r="C14" s="73" t="s">
        <v>515</v>
      </c>
      <c r="D14" s="73"/>
      <c r="E14" s="73"/>
      <c r="F14" s="73"/>
      <c r="G14" s="73"/>
      <c r="H14" s="73"/>
      <c r="I14" s="73" t="s">
        <v>516</v>
      </c>
      <c r="J14" s="73"/>
      <c r="K14" s="73"/>
      <c r="L14" s="73" t="s">
        <v>517</v>
      </c>
      <c r="M14" s="73"/>
      <c r="N14" s="73"/>
      <c r="O14" s="73"/>
      <c r="P14" s="27" t="s">
        <v>47</v>
      </c>
      <c r="Q14" s="27" t="s">
        <v>75</v>
      </c>
      <c r="R14" s="27">
        <v>99</v>
      </c>
      <c r="S14" s="27">
        <v>99</v>
      </c>
      <c r="T14" s="27">
        <v>99.53</v>
      </c>
      <c r="U14" s="28">
        <f>IF(ISERR(T14/S14*100),"N/A",T14/S14*100)</f>
        <v>100.53535353535355</v>
      </c>
    </row>
    <row r="15" spans="1:34" ht="75" customHeight="1" thickTop="1" thickBot="1">
      <c r="A15" s="25"/>
      <c r="B15" s="26" t="s">
        <v>87</v>
      </c>
      <c r="C15" s="73" t="s">
        <v>518</v>
      </c>
      <c r="D15" s="73"/>
      <c r="E15" s="73"/>
      <c r="F15" s="73"/>
      <c r="G15" s="73"/>
      <c r="H15" s="73"/>
      <c r="I15" s="73" t="s">
        <v>519</v>
      </c>
      <c r="J15" s="73"/>
      <c r="K15" s="73"/>
      <c r="L15" s="73" t="s">
        <v>520</v>
      </c>
      <c r="M15" s="73"/>
      <c r="N15" s="73"/>
      <c r="O15" s="73"/>
      <c r="P15" s="27" t="s">
        <v>521</v>
      </c>
      <c r="Q15" s="27" t="s">
        <v>522</v>
      </c>
      <c r="R15" s="54">
        <v>5742721</v>
      </c>
      <c r="S15" s="54">
        <v>5742721</v>
      </c>
      <c r="T15" s="54">
        <v>5938659</v>
      </c>
      <c r="U15" s="28">
        <f>IF(ISERR(T15/S15*100),"N/A",T15/S15*100)</f>
        <v>103.41193660635786</v>
      </c>
    </row>
    <row r="16" spans="1:34" ht="22.5" customHeight="1" thickTop="1" thickBot="1">
      <c r="B16" s="8" t="s">
        <v>98</v>
      </c>
      <c r="C16" s="9"/>
      <c r="D16" s="9"/>
      <c r="E16" s="9"/>
      <c r="F16" s="9"/>
      <c r="G16" s="9"/>
      <c r="H16" s="10"/>
      <c r="I16" s="10"/>
      <c r="J16" s="10"/>
      <c r="K16" s="10"/>
      <c r="L16" s="10"/>
      <c r="M16" s="10"/>
      <c r="N16" s="10"/>
      <c r="O16" s="10"/>
      <c r="P16" s="10"/>
      <c r="Q16" s="10"/>
      <c r="R16" s="10"/>
      <c r="S16" s="10"/>
      <c r="T16" s="10"/>
      <c r="U16" s="11"/>
      <c r="V16" s="33"/>
    </row>
    <row r="17" spans="2:21" ht="26.25" customHeight="1" thickTop="1">
      <c r="B17" s="34"/>
      <c r="C17" s="35"/>
      <c r="D17" s="35"/>
      <c r="E17" s="35"/>
      <c r="F17" s="35"/>
      <c r="G17" s="35"/>
      <c r="H17" s="36"/>
      <c r="I17" s="36"/>
      <c r="J17" s="36"/>
      <c r="K17" s="36"/>
      <c r="L17" s="36"/>
      <c r="M17" s="36"/>
      <c r="N17" s="36"/>
      <c r="O17" s="36"/>
      <c r="P17" s="37"/>
      <c r="Q17" s="38"/>
      <c r="R17" s="39" t="s">
        <v>99</v>
      </c>
      <c r="S17" s="22" t="s">
        <v>100</v>
      </c>
      <c r="T17" s="39" t="s">
        <v>101</v>
      </c>
      <c r="U17" s="22" t="s">
        <v>102</v>
      </c>
    </row>
    <row r="18" spans="2:21" ht="26.25" customHeight="1" thickBot="1">
      <c r="B18" s="40"/>
      <c r="C18" s="41"/>
      <c r="D18" s="41"/>
      <c r="E18" s="41"/>
      <c r="F18" s="41"/>
      <c r="G18" s="41"/>
      <c r="H18" s="42"/>
      <c r="I18" s="42"/>
      <c r="J18" s="42"/>
      <c r="K18" s="42"/>
      <c r="L18" s="42"/>
      <c r="M18" s="42"/>
      <c r="N18" s="42"/>
      <c r="O18" s="42"/>
      <c r="P18" s="43"/>
      <c r="Q18" s="44"/>
      <c r="R18" s="45" t="s">
        <v>103</v>
      </c>
      <c r="S18" s="44" t="s">
        <v>103</v>
      </c>
      <c r="T18" s="44" t="s">
        <v>103</v>
      </c>
      <c r="U18" s="44" t="s">
        <v>104</v>
      </c>
    </row>
    <row r="19" spans="2:21" ht="13.5" customHeight="1" thickBot="1">
      <c r="B19" s="65" t="s">
        <v>105</v>
      </c>
      <c r="C19" s="66"/>
      <c r="D19" s="66"/>
      <c r="E19" s="46"/>
      <c r="F19" s="46"/>
      <c r="G19" s="46"/>
      <c r="H19" s="47"/>
      <c r="I19" s="47"/>
      <c r="J19" s="47"/>
      <c r="K19" s="47"/>
      <c r="L19" s="47"/>
      <c r="M19" s="47"/>
      <c r="N19" s="47"/>
      <c r="O19" s="47"/>
      <c r="P19" s="48"/>
      <c r="Q19" s="48"/>
      <c r="R19" s="49">
        <f>17063.372467</f>
        <v>17063.372467000001</v>
      </c>
      <c r="S19" s="49">
        <f>12790.505921</f>
        <v>12790.505921</v>
      </c>
      <c r="T19" s="49">
        <f>13231.11968704</f>
        <v>13231.11968704</v>
      </c>
      <c r="U19" s="50">
        <f>+IF(ISERR(T19/S19*100),"N/A",T19/S19*100)</f>
        <v>103.44485017841696</v>
      </c>
    </row>
    <row r="20" spans="2:21" ht="13.5" customHeight="1" thickBot="1">
      <c r="B20" s="67" t="s">
        <v>106</v>
      </c>
      <c r="C20" s="68"/>
      <c r="D20" s="68"/>
      <c r="E20" s="51"/>
      <c r="F20" s="51"/>
      <c r="G20" s="51"/>
      <c r="H20" s="52"/>
      <c r="I20" s="52"/>
      <c r="J20" s="52"/>
      <c r="K20" s="52"/>
      <c r="L20" s="52"/>
      <c r="M20" s="52"/>
      <c r="N20" s="52"/>
      <c r="O20" s="52"/>
      <c r="P20" s="53"/>
      <c r="Q20" s="53"/>
      <c r="R20" s="49">
        <f>17286.934018</f>
        <v>17286.934018</v>
      </c>
      <c r="S20" s="49">
        <f>12998.167214</f>
        <v>12998.167213999999</v>
      </c>
      <c r="T20" s="49">
        <f>13231.11968704</f>
        <v>13231.11968704</v>
      </c>
      <c r="U20" s="50">
        <f>+IF(ISERR(T20/S20*100),"N/A",T20/S20*100)</f>
        <v>101.79219477026803</v>
      </c>
    </row>
    <row r="21" spans="2:21" ht="14.85" customHeight="1" thickTop="1" thickBot="1">
      <c r="B21" s="8" t="s">
        <v>107</v>
      </c>
      <c r="C21" s="9"/>
      <c r="D21" s="9"/>
      <c r="E21" s="9"/>
      <c r="F21" s="9"/>
      <c r="G21" s="9"/>
      <c r="H21" s="10"/>
      <c r="I21" s="10"/>
      <c r="J21" s="10"/>
      <c r="K21" s="10"/>
      <c r="L21" s="10"/>
      <c r="M21" s="10"/>
      <c r="N21" s="10"/>
      <c r="O21" s="10"/>
      <c r="P21" s="10"/>
      <c r="Q21" s="10"/>
      <c r="R21" s="10"/>
      <c r="S21" s="10"/>
      <c r="T21" s="10"/>
      <c r="U21" s="11"/>
    </row>
    <row r="22" spans="2:21" ht="44.25" customHeight="1" thickTop="1">
      <c r="B22" s="69" t="s">
        <v>108</v>
      </c>
      <c r="C22" s="70"/>
      <c r="D22" s="70"/>
      <c r="E22" s="70"/>
      <c r="F22" s="70"/>
      <c r="G22" s="70"/>
      <c r="H22" s="70"/>
      <c r="I22" s="70"/>
      <c r="J22" s="70"/>
      <c r="K22" s="70"/>
      <c r="L22" s="70"/>
      <c r="M22" s="70"/>
      <c r="N22" s="70"/>
      <c r="O22" s="70"/>
      <c r="P22" s="70"/>
      <c r="Q22" s="70"/>
      <c r="R22" s="70"/>
      <c r="S22" s="70"/>
      <c r="T22" s="70"/>
      <c r="U22" s="71"/>
    </row>
    <row r="23" spans="2:21" ht="34.5" customHeight="1">
      <c r="B23" s="59" t="s">
        <v>523</v>
      </c>
      <c r="C23" s="60"/>
      <c r="D23" s="60"/>
      <c r="E23" s="60"/>
      <c r="F23" s="60"/>
      <c r="G23" s="60"/>
      <c r="H23" s="60"/>
      <c r="I23" s="60"/>
      <c r="J23" s="60"/>
      <c r="K23" s="60"/>
      <c r="L23" s="60"/>
      <c r="M23" s="60"/>
      <c r="N23" s="60"/>
      <c r="O23" s="60"/>
      <c r="P23" s="60"/>
      <c r="Q23" s="60"/>
      <c r="R23" s="60"/>
      <c r="S23" s="60"/>
      <c r="T23" s="60"/>
      <c r="U23" s="61"/>
    </row>
    <row r="24" spans="2:21" ht="104.25" customHeight="1">
      <c r="B24" s="59" t="s">
        <v>524</v>
      </c>
      <c r="C24" s="60"/>
      <c r="D24" s="60"/>
      <c r="E24" s="60"/>
      <c r="F24" s="60"/>
      <c r="G24" s="60"/>
      <c r="H24" s="60"/>
      <c r="I24" s="60"/>
      <c r="J24" s="60"/>
      <c r="K24" s="60"/>
      <c r="L24" s="60"/>
      <c r="M24" s="60"/>
      <c r="N24" s="60"/>
      <c r="O24" s="60"/>
      <c r="P24" s="60"/>
      <c r="Q24" s="60"/>
      <c r="R24" s="60"/>
      <c r="S24" s="60"/>
      <c r="T24" s="60"/>
      <c r="U24" s="61"/>
    </row>
    <row r="25" spans="2:21" ht="46.5" customHeight="1">
      <c r="B25" s="59" t="s">
        <v>525</v>
      </c>
      <c r="C25" s="60"/>
      <c r="D25" s="60"/>
      <c r="E25" s="60"/>
      <c r="F25" s="60"/>
      <c r="G25" s="60"/>
      <c r="H25" s="60"/>
      <c r="I25" s="60"/>
      <c r="J25" s="60"/>
      <c r="K25" s="60"/>
      <c r="L25" s="60"/>
      <c r="M25" s="60"/>
      <c r="N25" s="60"/>
      <c r="O25" s="60"/>
      <c r="P25" s="60"/>
      <c r="Q25" s="60"/>
      <c r="R25" s="60"/>
      <c r="S25" s="60"/>
      <c r="T25" s="60"/>
      <c r="U25" s="61"/>
    </row>
    <row r="26" spans="2:21" ht="21.6" customHeight="1">
      <c r="B26" s="59" t="s">
        <v>526</v>
      </c>
      <c r="C26" s="60"/>
      <c r="D26" s="60"/>
      <c r="E26" s="60"/>
      <c r="F26" s="60"/>
      <c r="G26" s="60"/>
      <c r="H26" s="60"/>
      <c r="I26" s="60"/>
      <c r="J26" s="60"/>
      <c r="K26" s="60"/>
      <c r="L26" s="60"/>
      <c r="M26" s="60"/>
      <c r="N26" s="60"/>
      <c r="O26" s="60"/>
      <c r="P26" s="60"/>
      <c r="Q26" s="60"/>
      <c r="R26" s="60"/>
      <c r="S26" s="60"/>
      <c r="T26" s="60"/>
      <c r="U26" s="61"/>
    </row>
    <row r="27" spans="2:21" ht="95.1" customHeight="1" thickBot="1">
      <c r="B27" s="62" t="s">
        <v>527</v>
      </c>
      <c r="C27" s="63"/>
      <c r="D27" s="63"/>
      <c r="E27" s="63"/>
      <c r="F27" s="63"/>
      <c r="G27" s="63"/>
      <c r="H27" s="63"/>
      <c r="I27" s="63"/>
      <c r="J27" s="63"/>
      <c r="K27" s="63"/>
      <c r="L27" s="63"/>
      <c r="M27" s="63"/>
      <c r="N27" s="63"/>
      <c r="O27" s="63"/>
      <c r="P27" s="63"/>
      <c r="Q27" s="63"/>
      <c r="R27" s="63"/>
      <c r="S27" s="63"/>
      <c r="T27" s="63"/>
      <c r="U27" s="64"/>
    </row>
  </sheetData>
  <mergeCells count="4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6:U26"/>
    <mergeCell ref="B27:U27"/>
    <mergeCell ref="B19:D19"/>
    <mergeCell ref="B20:D20"/>
    <mergeCell ref="B22:U22"/>
    <mergeCell ref="B23:U23"/>
    <mergeCell ref="B24:U24"/>
    <mergeCell ref="B25:U25"/>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C6" sqref="C6:G6"/>
    </sheetView>
  </sheetViews>
  <sheetFormatPr baseColWidth="10" defaultColWidth="10" defaultRowHeight="12.75"/>
  <cols>
    <col min="1" max="1" width="3.42578125" style="1" customWidth="1"/>
    <col min="2" max="2" width="13.7109375" style="1" customWidth="1"/>
    <col min="3" max="3" width="5.85546875" style="1" customWidth="1"/>
    <col min="4" max="4" width="8.5703125" style="1" customWidth="1"/>
    <col min="5" max="5" width="9.7109375" style="1" customWidth="1"/>
    <col min="6" max="6" width="4.42578125" style="1" customWidth="1"/>
    <col min="7" max="7" width="0.28515625" style="1" customWidth="1"/>
    <col min="8" max="8" width="2.28515625" style="1" customWidth="1"/>
    <col min="9" max="9" width="6.5703125" style="1" customWidth="1"/>
    <col min="10" max="10" width="7.85546875" style="1" customWidth="1"/>
    <col min="11" max="11" width="9.42578125" style="1" customWidth="1"/>
    <col min="12" max="12" width="7.7109375" style="1" customWidth="1"/>
    <col min="13" max="13" width="6.140625" style="1" customWidth="1"/>
    <col min="14" max="14" width="8.28515625" style="1" customWidth="1"/>
    <col min="15" max="15" width="11.140625" style="1" customWidth="1"/>
    <col min="16" max="16" width="11.5703125" style="1" customWidth="1"/>
    <col min="17" max="17" width="12.140625" style="1" customWidth="1"/>
    <col min="18" max="18" width="9" style="1" customWidth="1"/>
    <col min="19" max="19" width="13" style="1" customWidth="1"/>
    <col min="20" max="20" width="10.7109375" style="1" customWidth="1"/>
    <col min="21" max="21" width="10.42578125" style="1" customWidth="1"/>
    <col min="22" max="22" width="11.42578125" style="1" customWidth="1"/>
    <col min="23" max="23" width="10.7109375" style="1" customWidth="1"/>
    <col min="24" max="24" width="8.42578125" style="1" customWidth="1"/>
    <col min="25" max="25" width="8.7109375" style="1" customWidth="1"/>
    <col min="26" max="26" width="9.5703125" style="1" customWidth="1"/>
    <col min="27" max="29" width="10" style="1"/>
    <col min="30" max="30" width="15.42578125" style="1" customWidth="1"/>
    <col min="31" max="16384" width="10" style="1"/>
  </cols>
  <sheetData>
    <row r="1" spans="1:34" s="2" customFormat="1" ht="48" customHeight="1">
      <c r="A1" s="3"/>
      <c r="B1" s="98" t="s">
        <v>583</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528</v>
      </c>
      <c r="D4" s="99" t="s">
        <v>529</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v>
      </c>
      <c r="D6" s="80"/>
      <c r="E6" s="80"/>
      <c r="F6" s="80"/>
      <c r="G6" s="80"/>
      <c r="H6" s="18"/>
      <c r="I6" s="18"/>
      <c r="J6" s="18" t="s">
        <v>18</v>
      </c>
      <c r="K6" s="80" t="s">
        <v>19</v>
      </c>
      <c r="L6" s="80"/>
      <c r="M6" s="80"/>
      <c r="N6" s="19"/>
      <c r="O6" s="20" t="s">
        <v>20</v>
      </c>
      <c r="P6" s="80" t="s">
        <v>21</v>
      </c>
      <c r="Q6" s="80"/>
      <c r="R6" s="21"/>
      <c r="S6" s="20" t="s">
        <v>22</v>
      </c>
      <c r="T6" s="80" t="s">
        <v>130</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c r="A11" s="25"/>
      <c r="B11" s="26" t="s">
        <v>38</v>
      </c>
      <c r="C11" s="73" t="s">
        <v>530</v>
      </c>
      <c r="D11" s="73"/>
      <c r="E11" s="73"/>
      <c r="F11" s="73"/>
      <c r="G11" s="73"/>
      <c r="H11" s="73"/>
      <c r="I11" s="73" t="s">
        <v>531</v>
      </c>
      <c r="J11" s="73"/>
      <c r="K11" s="73"/>
      <c r="L11" s="73" t="s">
        <v>532</v>
      </c>
      <c r="M11" s="73"/>
      <c r="N11" s="73"/>
      <c r="O11" s="73"/>
      <c r="P11" s="27" t="s">
        <v>533</v>
      </c>
      <c r="Q11" s="27" t="s">
        <v>43</v>
      </c>
      <c r="R11" s="54">
        <v>146183</v>
      </c>
      <c r="S11" s="54">
        <v>146183</v>
      </c>
      <c r="T11" s="54">
        <v>149854</v>
      </c>
      <c r="U11" s="28">
        <f>IF(ISERR(T11/S11*100),"N/A",T11/S11*100)</f>
        <v>102.51123591662505</v>
      </c>
    </row>
    <row r="12" spans="1:34" ht="75" customHeight="1" thickBot="1">
      <c r="A12" s="25"/>
      <c r="B12" s="29" t="s">
        <v>44</v>
      </c>
      <c r="C12" s="72" t="s">
        <v>44</v>
      </c>
      <c r="D12" s="72"/>
      <c r="E12" s="72"/>
      <c r="F12" s="72"/>
      <c r="G12" s="72"/>
      <c r="H12" s="72"/>
      <c r="I12" s="72" t="s">
        <v>534</v>
      </c>
      <c r="J12" s="72"/>
      <c r="K12" s="72"/>
      <c r="L12" s="72" t="s">
        <v>535</v>
      </c>
      <c r="M12" s="72"/>
      <c r="N12" s="72"/>
      <c r="O12" s="72"/>
      <c r="P12" s="30" t="s">
        <v>47</v>
      </c>
      <c r="Q12" s="30" t="s">
        <v>61</v>
      </c>
      <c r="R12" s="31">
        <v>85</v>
      </c>
      <c r="S12" s="31" t="s">
        <v>49</v>
      </c>
      <c r="T12" s="31" t="s">
        <v>49</v>
      </c>
      <c r="U12" s="32" t="str">
        <f>IF(ISERR(T12/S12*100),"N/A",T12/S12*100)</f>
        <v>N/A</v>
      </c>
    </row>
    <row r="13" spans="1:34" ht="75" customHeight="1" thickTop="1" thickBot="1">
      <c r="A13" s="25"/>
      <c r="B13" s="26" t="s">
        <v>62</v>
      </c>
      <c r="C13" s="73" t="s">
        <v>536</v>
      </c>
      <c r="D13" s="73"/>
      <c r="E13" s="73"/>
      <c r="F13" s="73"/>
      <c r="G13" s="73"/>
      <c r="H13" s="73"/>
      <c r="I13" s="73" t="s">
        <v>537</v>
      </c>
      <c r="J13" s="73"/>
      <c r="K13" s="73"/>
      <c r="L13" s="73" t="s">
        <v>538</v>
      </c>
      <c r="M13" s="73"/>
      <c r="N13" s="73"/>
      <c r="O13" s="73"/>
      <c r="P13" s="27" t="s">
        <v>212</v>
      </c>
      <c r="Q13" s="27" t="s">
        <v>43</v>
      </c>
      <c r="R13" s="27">
        <v>21.95</v>
      </c>
      <c r="S13" s="27">
        <v>21.95</v>
      </c>
      <c r="T13" s="27">
        <v>22.5</v>
      </c>
      <c r="U13" s="28">
        <f>IF(ISERR(T13/S13*100),"N/A",T13/S13*100)</f>
        <v>102.50569476082005</v>
      </c>
    </row>
    <row r="14" spans="1:34" ht="75" customHeight="1" thickTop="1" thickBot="1">
      <c r="A14" s="25"/>
      <c r="B14" s="26" t="s">
        <v>71</v>
      </c>
      <c r="C14" s="73" t="s">
        <v>539</v>
      </c>
      <c r="D14" s="73"/>
      <c r="E14" s="73"/>
      <c r="F14" s="73"/>
      <c r="G14" s="73"/>
      <c r="H14" s="73"/>
      <c r="I14" s="73" t="s">
        <v>540</v>
      </c>
      <c r="J14" s="73"/>
      <c r="K14" s="73"/>
      <c r="L14" s="73" t="s">
        <v>541</v>
      </c>
      <c r="M14" s="73"/>
      <c r="N14" s="73"/>
      <c r="O14" s="73"/>
      <c r="P14" s="27" t="s">
        <v>47</v>
      </c>
      <c r="Q14" s="27" t="s">
        <v>258</v>
      </c>
      <c r="R14" s="27">
        <v>100</v>
      </c>
      <c r="S14" s="27">
        <v>100</v>
      </c>
      <c r="T14" s="27">
        <v>100</v>
      </c>
      <c r="U14" s="28">
        <f>IF(ISERR(T14/S14*100),"N/A",T14/S14*100)</f>
        <v>100</v>
      </c>
    </row>
    <row r="15" spans="1:34" ht="75" customHeight="1" thickTop="1" thickBot="1">
      <c r="A15" s="25"/>
      <c r="B15" s="26" t="s">
        <v>87</v>
      </c>
      <c r="C15" s="73" t="s">
        <v>542</v>
      </c>
      <c r="D15" s="73"/>
      <c r="E15" s="73"/>
      <c r="F15" s="73"/>
      <c r="G15" s="73"/>
      <c r="H15" s="73"/>
      <c r="I15" s="73" t="s">
        <v>543</v>
      </c>
      <c r="J15" s="73"/>
      <c r="K15" s="73"/>
      <c r="L15" s="73" t="s">
        <v>544</v>
      </c>
      <c r="M15" s="73"/>
      <c r="N15" s="73"/>
      <c r="O15" s="73"/>
      <c r="P15" s="27" t="s">
        <v>47</v>
      </c>
      <c r="Q15" s="27" t="s">
        <v>91</v>
      </c>
      <c r="R15" s="27">
        <v>100</v>
      </c>
      <c r="S15" s="27">
        <v>100</v>
      </c>
      <c r="T15" s="27">
        <v>100</v>
      </c>
      <c r="U15" s="28">
        <f>IF(ISERR(T15/S15*100),"N/A",T15/S15*100)</f>
        <v>100</v>
      </c>
    </row>
    <row r="16" spans="1:34" ht="22.5" customHeight="1" thickTop="1" thickBot="1">
      <c r="B16" s="8" t="s">
        <v>98</v>
      </c>
      <c r="C16" s="9"/>
      <c r="D16" s="9"/>
      <c r="E16" s="9"/>
      <c r="F16" s="9"/>
      <c r="G16" s="9"/>
      <c r="H16" s="10"/>
      <c r="I16" s="10"/>
      <c r="J16" s="10"/>
      <c r="K16" s="10"/>
      <c r="L16" s="10"/>
      <c r="M16" s="10"/>
      <c r="N16" s="10"/>
      <c r="O16" s="10"/>
      <c r="P16" s="10"/>
      <c r="Q16" s="10"/>
      <c r="R16" s="10"/>
      <c r="S16" s="10"/>
      <c r="T16" s="10"/>
      <c r="U16" s="11"/>
      <c r="V16" s="33"/>
    </row>
    <row r="17" spans="2:21" ht="26.25" customHeight="1" thickTop="1">
      <c r="B17" s="34"/>
      <c r="C17" s="35"/>
      <c r="D17" s="35"/>
      <c r="E17" s="35"/>
      <c r="F17" s="35"/>
      <c r="G17" s="35"/>
      <c r="H17" s="36"/>
      <c r="I17" s="36"/>
      <c r="J17" s="36"/>
      <c r="K17" s="36"/>
      <c r="L17" s="36"/>
      <c r="M17" s="36"/>
      <c r="N17" s="36"/>
      <c r="O17" s="36"/>
      <c r="P17" s="37"/>
      <c r="Q17" s="38"/>
      <c r="R17" s="39" t="s">
        <v>99</v>
      </c>
      <c r="S17" s="22" t="s">
        <v>100</v>
      </c>
      <c r="T17" s="39" t="s">
        <v>101</v>
      </c>
      <c r="U17" s="22" t="s">
        <v>102</v>
      </c>
    </row>
    <row r="18" spans="2:21" ht="26.25" customHeight="1" thickBot="1">
      <c r="B18" s="40"/>
      <c r="C18" s="41"/>
      <c r="D18" s="41"/>
      <c r="E18" s="41"/>
      <c r="F18" s="41"/>
      <c r="G18" s="41"/>
      <c r="H18" s="42"/>
      <c r="I18" s="42"/>
      <c r="J18" s="42"/>
      <c r="K18" s="42"/>
      <c r="L18" s="42"/>
      <c r="M18" s="42"/>
      <c r="N18" s="42"/>
      <c r="O18" s="42"/>
      <c r="P18" s="43"/>
      <c r="Q18" s="44"/>
      <c r="R18" s="45" t="s">
        <v>103</v>
      </c>
      <c r="S18" s="44" t="s">
        <v>103</v>
      </c>
      <c r="T18" s="44" t="s">
        <v>103</v>
      </c>
      <c r="U18" s="44" t="s">
        <v>104</v>
      </c>
    </row>
    <row r="19" spans="2:21" ht="13.5" customHeight="1" thickBot="1">
      <c r="B19" s="65" t="s">
        <v>105</v>
      </c>
      <c r="C19" s="66"/>
      <c r="D19" s="66"/>
      <c r="E19" s="46"/>
      <c r="F19" s="46"/>
      <c r="G19" s="46"/>
      <c r="H19" s="47"/>
      <c r="I19" s="47"/>
      <c r="J19" s="47"/>
      <c r="K19" s="47"/>
      <c r="L19" s="47"/>
      <c r="M19" s="47"/>
      <c r="N19" s="47"/>
      <c r="O19" s="47"/>
      <c r="P19" s="48"/>
      <c r="Q19" s="48"/>
      <c r="R19" s="49">
        <f>4954.872398</f>
        <v>4954.8723980000004</v>
      </c>
      <c r="S19" s="49">
        <f>3631.040851</f>
        <v>3631.0408510000002</v>
      </c>
      <c r="T19" s="49">
        <f>1776.92820138</f>
        <v>1776.92820138</v>
      </c>
      <c r="U19" s="50">
        <f>+IF(ISERR(T19/S19*100),"N/A",T19/S19*100)</f>
        <v>48.937158084867818</v>
      </c>
    </row>
    <row r="20" spans="2:21" ht="13.5" customHeight="1" thickBot="1">
      <c r="B20" s="67" t="s">
        <v>106</v>
      </c>
      <c r="C20" s="68"/>
      <c r="D20" s="68"/>
      <c r="E20" s="51"/>
      <c r="F20" s="51"/>
      <c r="G20" s="51"/>
      <c r="H20" s="52"/>
      <c r="I20" s="52"/>
      <c r="J20" s="52"/>
      <c r="K20" s="52"/>
      <c r="L20" s="52"/>
      <c r="M20" s="52"/>
      <c r="N20" s="52"/>
      <c r="O20" s="52"/>
      <c r="P20" s="53"/>
      <c r="Q20" s="53"/>
      <c r="R20" s="49">
        <f>5992.42866897</f>
        <v>5992.4286689700002</v>
      </c>
      <c r="S20" s="49">
        <f>1937.01286316</f>
        <v>1937.0128631600001</v>
      </c>
      <c r="T20" s="49">
        <f>1776.92820138</f>
        <v>1776.92820138</v>
      </c>
      <c r="U20" s="50">
        <f>+IF(ISERR(T20/S20*100),"N/A",T20/S20*100)</f>
        <v>91.735487934817257</v>
      </c>
    </row>
    <row r="21" spans="2:21" ht="14.85" customHeight="1" thickTop="1" thickBot="1">
      <c r="B21" s="8" t="s">
        <v>107</v>
      </c>
      <c r="C21" s="9"/>
      <c r="D21" s="9"/>
      <c r="E21" s="9"/>
      <c r="F21" s="9"/>
      <c r="G21" s="9"/>
      <c r="H21" s="10"/>
      <c r="I21" s="10"/>
      <c r="J21" s="10"/>
      <c r="K21" s="10"/>
      <c r="L21" s="10"/>
      <c r="M21" s="10"/>
      <c r="N21" s="10"/>
      <c r="O21" s="10"/>
      <c r="P21" s="10"/>
      <c r="Q21" s="10"/>
      <c r="R21" s="10"/>
      <c r="S21" s="10"/>
      <c r="T21" s="10"/>
      <c r="U21" s="11"/>
    </row>
    <row r="22" spans="2:21" ht="44.25" customHeight="1" thickTop="1">
      <c r="B22" s="69" t="s">
        <v>108</v>
      </c>
      <c r="C22" s="70"/>
      <c r="D22" s="70"/>
      <c r="E22" s="70"/>
      <c r="F22" s="70"/>
      <c r="G22" s="70"/>
      <c r="H22" s="70"/>
      <c r="I22" s="70"/>
      <c r="J22" s="70"/>
      <c r="K22" s="70"/>
      <c r="L22" s="70"/>
      <c r="M22" s="70"/>
      <c r="N22" s="70"/>
      <c r="O22" s="70"/>
      <c r="P22" s="70"/>
      <c r="Q22" s="70"/>
      <c r="R22" s="70"/>
      <c r="S22" s="70"/>
      <c r="T22" s="70"/>
      <c r="U22" s="71"/>
    </row>
    <row r="23" spans="2:21" ht="74.849999999999994" customHeight="1">
      <c r="B23" s="59" t="s">
        <v>545</v>
      </c>
      <c r="C23" s="60"/>
      <c r="D23" s="60"/>
      <c r="E23" s="60"/>
      <c r="F23" s="60"/>
      <c r="G23" s="60"/>
      <c r="H23" s="60"/>
      <c r="I23" s="60"/>
      <c r="J23" s="60"/>
      <c r="K23" s="60"/>
      <c r="L23" s="60"/>
      <c r="M23" s="60"/>
      <c r="N23" s="60"/>
      <c r="O23" s="60"/>
      <c r="P23" s="60"/>
      <c r="Q23" s="60"/>
      <c r="R23" s="60"/>
      <c r="S23" s="60"/>
      <c r="T23" s="60"/>
      <c r="U23" s="61"/>
    </row>
    <row r="24" spans="2:21" ht="34.5" customHeight="1">
      <c r="B24" s="59" t="s">
        <v>546</v>
      </c>
      <c r="C24" s="60"/>
      <c r="D24" s="60"/>
      <c r="E24" s="60"/>
      <c r="F24" s="60"/>
      <c r="G24" s="60"/>
      <c r="H24" s="60"/>
      <c r="I24" s="60"/>
      <c r="J24" s="60"/>
      <c r="K24" s="60"/>
      <c r="L24" s="60"/>
      <c r="M24" s="60"/>
      <c r="N24" s="60"/>
      <c r="O24" s="60"/>
      <c r="P24" s="60"/>
      <c r="Q24" s="60"/>
      <c r="R24" s="60"/>
      <c r="S24" s="60"/>
      <c r="T24" s="60"/>
      <c r="U24" s="61"/>
    </row>
    <row r="25" spans="2:21" ht="74.25" customHeight="1">
      <c r="B25" s="59" t="s">
        <v>547</v>
      </c>
      <c r="C25" s="60"/>
      <c r="D25" s="60"/>
      <c r="E25" s="60"/>
      <c r="F25" s="60"/>
      <c r="G25" s="60"/>
      <c r="H25" s="60"/>
      <c r="I25" s="60"/>
      <c r="J25" s="60"/>
      <c r="K25" s="60"/>
      <c r="L25" s="60"/>
      <c r="M25" s="60"/>
      <c r="N25" s="60"/>
      <c r="O25" s="60"/>
      <c r="P25" s="60"/>
      <c r="Q25" s="60"/>
      <c r="R25" s="60"/>
      <c r="S25" s="60"/>
      <c r="T25" s="60"/>
      <c r="U25" s="61"/>
    </row>
    <row r="26" spans="2:21" ht="21" customHeight="1">
      <c r="B26" s="59" t="s">
        <v>548</v>
      </c>
      <c r="C26" s="60"/>
      <c r="D26" s="60"/>
      <c r="E26" s="60"/>
      <c r="F26" s="60"/>
      <c r="G26" s="60"/>
      <c r="H26" s="60"/>
      <c r="I26" s="60"/>
      <c r="J26" s="60"/>
      <c r="K26" s="60"/>
      <c r="L26" s="60"/>
      <c r="M26" s="60"/>
      <c r="N26" s="60"/>
      <c r="O26" s="60"/>
      <c r="P26" s="60"/>
      <c r="Q26" s="60"/>
      <c r="R26" s="60"/>
      <c r="S26" s="60"/>
      <c r="T26" s="60"/>
      <c r="U26" s="61"/>
    </row>
    <row r="27" spans="2:21" ht="21.2" customHeight="1" thickBot="1">
      <c r="B27" s="62" t="s">
        <v>549</v>
      </c>
      <c r="C27" s="63"/>
      <c r="D27" s="63"/>
      <c r="E27" s="63"/>
      <c r="F27" s="63"/>
      <c r="G27" s="63"/>
      <c r="H27" s="63"/>
      <c r="I27" s="63"/>
      <c r="J27" s="63"/>
      <c r="K27" s="63"/>
      <c r="L27" s="63"/>
      <c r="M27" s="63"/>
      <c r="N27" s="63"/>
      <c r="O27" s="63"/>
      <c r="P27" s="63"/>
      <c r="Q27" s="63"/>
      <c r="R27" s="63"/>
      <c r="S27" s="63"/>
      <c r="T27" s="63"/>
      <c r="U27" s="64"/>
    </row>
  </sheetData>
  <mergeCells count="4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6:U26"/>
    <mergeCell ref="B27:U27"/>
    <mergeCell ref="B19:D19"/>
    <mergeCell ref="B20:D20"/>
    <mergeCell ref="B22:U22"/>
    <mergeCell ref="B23:U23"/>
    <mergeCell ref="B24:U24"/>
    <mergeCell ref="B25:U25"/>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D4" sqref="D4:H4"/>
    </sheetView>
  </sheetViews>
  <sheetFormatPr baseColWidth="10" defaultColWidth="10" defaultRowHeight="12.75"/>
  <cols>
    <col min="1" max="1" width="3.42578125" style="1" customWidth="1"/>
    <col min="2" max="2" width="13.7109375" style="1" customWidth="1"/>
    <col min="3" max="3" width="5.85546875" style="1" customWidth="1"/>
    <col min="4" max="4" width="8.5703125" style="1" customWidth="1"/>
    <col min="5" max="5" width="9.7109375" style="1" customWidth="1"/>
    <col min="6" max="6" width="4.42578125" style="1" customWidth="1"/>
    <col min="7" max="7" width="0.28515625" style="1" customWidth="1"/>
    <col min="8" max="8" width="2.28515625" style="1" customWidth="1"/>
    <col min="9" max="9" width="6.5703125" style="1" customWidth="1"/>
    <col min="10" max="10" width="7.85546875" style="1" customWidth="1"/>
    <col min="11" max="11" width="9.42578125" style="1" customWidth="1"/>
    <col min="12" max="12" width="7.7109375" style="1" customWidth="1"/>
    <col min="13" max="13" width="6.140625" style="1" customWidth="1"/>
    <col min="14" max="14" width="8.28515625" style="1" customWidth="1"/>
    <col min="15" max="15" width="11.140625" style="1" customWidth="1"/>
    <col min="16" max="16" width="11.5703125" style="1" customWidth="1"/>
    <col min="17" max="17" width="12.140625" style="1" customWidth="1"/>
    <col min="18" max="18" width="9" style="1" customWidth="1"/>
    <col min="19" max="19" width="13" style="1" customWidth="1"/>
    <col min="20" max="20" width="10.7109375" style="1" customWidth="1"/>
    <col min="21" max="21" width="10.42578125" style="1" customWidth="1"/>
    <col min="22" max="22" width="11.42578125" style="1" customWidth="1"/>
    <col min="23" max="23" width="10.7109375" style="1" customWidth="1"/>
    <col min="24" max="24" width="8.42578125" style="1" customWidth="1"/>
    <col min="25" max="25" width="8.7109375" style="1" customWidth="1"/>
    <col min="26" max="26" width="9.5703125" style="1" customWidth="1"/>
    <col min="27" max="29" width="10" style="1"/>
    <col min="30" max="30" width="15.42578125" style="1" customWidth="1"/>
    <col min="31" max="16384" width="10" style="1"/>
  </cols>
  <sheetData>
    <row r="1" spans="1:34" s="2" customFormat="1" ht="48" customHeight="1">
      <c r="A1" s="3"/>
      <c r="B1" s="98" t="s">
        <v>583</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550</v>
      </c>
      <c r="D4" s="99" t="s">
        <v>551</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v>
      </c>
      <c r="D6" s="80"/>
      <c r="E6" s="80"/>
      <c r="F6" s="80"/>
      <c r="G6" s="80"/>
      <c r="H6" s="18"/>
      <c r="I6" s="18"/>
      <c r="J6" s="18" t="s">
        <v>18</v>
      </c>
      <c r="K6" s="80" t="s">
        <v>19</v>
      </c>
      <c r="L6" s="80"/>
      <c r="M6" s="80"/>
      <c r="N6" s="19"/>
      <c r="O6" s="20" t="s">
        <v>20</v>
      </c>
      <c r="P6" s="80" t="s">
        <v>21</v>
      </c>
      <c r="Q6" s="80"/>
      <c r="R6" s="21"/>
      <c r="S6" s="20" t="s">
        <v>22</v>
      </c>
      <c r="T6" s="80" t="s">
        <v>130</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thickBot="1">
      <c r="A11" s="25"/>
      <c r="B11" s="26" t="s">
        <v>38</v>
      </c>
      <c r="C11" s="73" t="s">
        <v>552</v>
      </c>
      <c r="D11" s="73"/>
      <c r="E11" s="73"/>
      <c r="F11" s="73"/>
      <c r="G11" s="73"/>
      <c r="H11" s="73"/>
      <c r="I11" s="73" t="s">
        <v>534</v>
      </c>
      <c r="J11" s="73"/>
      <c r="K11" s="73"/>
      <c r="L11" s="73" t="s">
        <v>535</v>
      </c>
      <c r="M11" s="73"/>
      <c r="N11" s="73"/>
      <c r="O11" s="73"/>
      <c r="P11" s="27" t="s">
        <v>47</v>
      </c>
      <c r="Q11" s="27" t="s">
        <v>61</v>
      </c>
      <c r="R11" s="54">
        <v>85</v>
      </c>
      <c r="S11" s="54" t="s">
        <v>49</v>
      </c>
      <c r="T11" s="54" t="s">
        <v>49</v>
      </c>
      <c r="U11" s="28" t="str">
        <f t="shared" ref="U11:U19" si="0">IF(ISERR(T11/S11*100),"N/A",T11/S11*100)</f>
        <v>N/A</v>
      </c>
    </row>
    <row r="12" spans="1:34" ht="75" customHeight="1" thickTop="1">
      <c r="A12" s="25"/>
      <c r="B12" s="26" t="s">
        <v>62</v>
      </c>
      <c r="C12" s="73" t="s">
        <v>553</v>
      </c>
      <c r="D12" s="73"/>
      <c r="E12" s="73"/>
      <c r="F12" s="73"/>
      <c r="G12" s="73"/>
      <c r="H12" s="73"/>
      <c r="I12" s="73" t="s">
        <v>554</v>
      </c>
      <c r="J12" s="73"/>
      <c r="K12" s="73"/>
      <c r="L12" s="73" t="s">
        <v>555</v>
      </c>
      <c r="M12" s="73"/>
      <c r="N12" s="73"/>
      <c r="O12" s="73"/>
      <c r="P12" s="27" t="s">
        <v>556</v>
      </c>
      <c r="Q12" s="27" t="s">
        <v>284</v>
      </c>
      <c r="R12" s="27">
        <v>18</v>
      </c>
      <c r="S12" s="27">
        <v>18</v>
      </c>
      <c r="T12" s="27">
        <v>87</v>
      </c>
      <c r="U12" s="28">
        <f t="shared" si="0"/>
        <v>483.33333333333331</v>
      </c>
    </row>
    <row r="13" spans="1:34" ht="75" customHeight="1" thickBot="1">
      <c r="A13" s="25"/>
      <c r="B13" s="29" t="s">
        <v>44</v>
      </c>
      <c r="C13" s="72" t="s">
        <v>44</v>
      </c>
      <c r="D13" s="72"/>
      <c r="E13" s="72"/>
      <c r="F13" s="72"/>
      <c r="G13" s="72"/>
      <c r="H13" s="72"/>
      <c r="I13" s="72" t="s">
        <v>557</v>
      </c>
      <c r="J13" s="72"/>
      <c r="K13" s="72"/>
      <c r="L13" s="72" t="s">
        <v>558</v>
      </c>
      <c r="M13" s="72"/>
      <c r="N13" s="72"/>
      <c r="O13" s="72"/>
      <c r="P13" s="30" t="s">
        <v>47</v>
      </c>
      <c r="Q13" s="30" t="s">
        <v>43</v>
      </c>
      <c r="R13" s="30">
        <v>80.510000000000005</v>
      </c>
      <c r="S13" s="30">
        <v>80.510000000000005</v>
      </c>
      <c r="T13" s="30">
        <v>8.2100000000000009</v>
      </c>
      <c r="U13" s="32">
        <f t="shared" si="0"/>
        <v>10.197490994907465</v>
      </c>
    </row>
    <row r="14" spans="1:34" ht="75" customHeight="1" thickTop="1">
      <c r="A14" s="25"/>
      <c r="B14" s="26" t="s">
        <v>71</v>
      </c>
      <c r="C14" s="73" t="s">
        <v>559</v>
      </c>
      <c r="D14" s="73"/>
      <c r="E14" s="73"/>
      <c r="F14" s="73"/>
      <c r="G14" s="73"/>
      <c r="H14" s="73"/>
      <c r="I14" s="73" t="s">
        <v>560</v>
      </c>
      <c r="J14" s="73"/>
      <c r="K14" s="73"/>
      <c r="L14" s="73" t="s">
        <v>561</v>
      </c>
      <c r="M14" s="73"/>
      <c r="N14" s="73"/>
      <c r="O14" s="73"/>
      <c r="P14" s="27" t="s">
        <v>47</v>
      </c>
      <c r="Q14" s="27" t="s">
        <v>43</v>
      </c>
      <c r="R14" s="27">
        <v>90</v>
      </c>
      <c r="S14" s="27">
        <v>90</v>
      </c>
      <c r="T14" s="27">
        <v>99.53</v>
      </c>
      <c r="U14" s="28">
        <f t="shared" si="0"/>
        <v>110.58888888888889</v>
      </c>
    </row>
    <row r="15" spans="1:34" ht="75" customHeight="1" thickBot="1">
      <c r="A15" s="25"/>
      <c r="B15" s="29" t="s">
        <v>44</v>
      </c>
      <c r="C15" s="72" t="s">
        <v>44</v>
      </c>
      <c r="D15" s="72"/>
      <c r="E15" s="72"/>
      <c r="F15" s="72"/>
      <c r="G15" s="72"/>
      <c r="H15" s="72"/>
      <c r="I15" s="72" t="s">
        <v>562</v>
      </c>
      <c r="J15" s="72"/>
      <c r="K15" s="72"/>
      <c r="L15" s="72" t="s">
        <v>563</v>
      </c>
      <c r="M15" s="72"/>
      <c r="N15" s="72"/>
      <c r="O15" s="72"/>
      <c r="P15" s="30" t="s">
        <v>47</v>
      </c>
      <c r="Q15" s="30" t="s">
        <v>61</v>
      </c>
      <c r="R15" s="30">
        <v>80</v>
      </c>
      <c r="S15" s="30">
        <v>80</v>
      </c>
      <c r="T15" s="30">
        <v>6.93</v>
      </c>
      <c r="U15" s="32">
        <f t="shared" si="0"/>
        <v>8.6624999999999996</v>
      </c>
    </row>
    <row r="16" spans="1:34" ht="75" customHeight="1" thickTop="1">
      <c r="A16" s="25"/>
      <c r="B16" s="26" t="s">
        <v>87</v>
      </c>
      <c r="C16" s="73" t="s">
        <v>564</v>
      </c>
      <c r="D16" s="73"/>
      <c r="E16" s="73"/>
      <c r="F16" s="73"/>
      <c r="G16" s="73"/>
      <c r="H16" s="73"/>
      <c r="I16" s="73" t="s">
        <v>565</v>
      </c>
      <c r="J16" s="73"/>
      <c r="K16" s="73"/>
      <c r="L16" s="73" t="s">
        <v>566</v>
      </c>
      <c r="M16" s="73"/>
      <c r="N16" s="73"/>
      <c r="O16" s="73"/>
      <c r="P16" s="27" t="s">
        <v>47</v>
      </c>
      <c r="Q16" s="27" t="s">
        <v>61</v>
      </c>
      <c r="R16" s="27">
        <v>80.319999999999993</v>
      </c>
      <c r="S16" s="27">
        <v>80.319999999999993</v>
      </c>
      <c r="T16" s="27">
        <v>83.6</v>
      </c>
      <c r="U16" s="28">
        <f t="shared" si="0"/>
        <v>104.08366533864542</v>
      </c>
    </row>
    <row r="17" spans="1:22" ht="75" customHeight="1">
      <c r="A17" s="25"/>
      <c r="B17" s="29" t="s">
        <v>44</v>
      </c>
      <c r="C17" s="72" t="s">
        <v>44</v>
      </c>
      <c r="D17" s="72"/>
      <c r="E17" s="72"/>
      <c r="F17" s="72"/>
      <c r="G17" s="72"/>
      <c r="H17" s="72"/>
      <c r="I17" s="72" t="s">
        <v>567</v>
      </c>
      <c r="J17" s="72"/>
      <c r="K17" s="72"/>
      <c r="L17" s="72" t="s">
        <v>568</v>
      </c>
      <c r="M17" s="72"/>
      <c r="N17" s="72"/>
      <c r="O17" s="72"/>
      <c r="P17" s="30" t="s">
        <v>47</v>
      </c>
      <c r="Q17" s="30" t="s">
        <v>569</v>
      </c>
      <c r="R17" s="30">
        <v>95</v>
      </c>
      <c r="S17" s="30">
        <v>95</v>
      </c>
      <c r="T17" s="30">
        <v>87</v>
      </c>
      <c r="U17" s="32">
        <f t="shared" si="0"/>
        <v>91.578947368421055</v>
      </c>
    </row>
    <row r="18" spans="1:22" ht="75" customHeight="1">
      <c r="A18" s="25"/>
      <c r="B18" s="29" t="s">
        <v>44</v>
      </c>
      <c r="C18" s="72" t="s">
        <v>570</v>
      </c>
      <c r="D18" s="72"/>
      <c r="E18" s="72"/>
      <c r="F18" s="72"/>
      <c r="G18" s="72"/>
      <c r="H18" s="72"/>
      <c r="I18" s="72" t="s">
        <v>571</v>
      </c>
      <c r="J18" s="72"/>
      <c r="K18" s="72"/>
      <c r="L18" s="72" t="s">
        <v>572</v>
      </c>
      <c r="M18" s="72"/>
      <c r="N18" s="72"/>
      <c r="O18" s="72"/>
      <c r="P18" s="30" t="s">
        <v>47</v>
      </c>
      <c r="Q18" s="30" t="s">
        <v>442</v>
      </c>
      <c r="R18" s="30">
        <v>80</v>
      </c>
      <c r="S18" s="30">
        <v>80</v>
      </c>
      <c r="T18" s="30">
        <v>16</v>
      </c>
      <c r="U18" s="32">
        <f t="shared" si="0"/>
        <v>20</v>
      </c>
    </row>
    <row r="19" spans="1:22" ht="75" customHeight="1" thickBot="1">
      <c r="A19" s="25"/>
      <c r="B19" s="29" t="s">
        <v>44</v>
      </c>
      <c r="C19" s="72" t="s">
        <v>44</v>
      </c>
      <c r="D19" s="72"/>
      <c r="E19" s="72"/>
      <c r="F19" s="72"/>
      <c r="G19" s="72"/>
      <c r="H19" s="72"/>
      <c r="I19" s="72" t="s">
        <v>573</v>
      </c>
      <c r="J19" s="72"/>
      <c r="K19" s="72"/>
      <c r="L19" s="72" t="s">
        <v>574</v>
      </c>
      <c r="M19" s="72"/>
      <c r="N19" s="72"/>
      <c r="O19" s="72"/>
      <c r="P19" s="30" t="s">
        <v>47</v>
      </c>
      <c r="Q19" s="30" t="s">
        <v>258</v>
      </c>
      <c r="R19" s="30">
        <v>66</v>
      </c>
      <c r="S19" s="30">
        <v>66</v>
      </c>
      <c r="T19" s="30">
        <v>33.33</v>
      </c>
      <c r="U19" s="32">
        <f t="shared" si="0"/>
        <v>50.5</v>
      </c>
    </row>
    <row r="20" spans="1:22" ht="22.5" customHeight="1" thickTop="1" thickBot="1">
      <c r="B20" s="8" t="s">
        <v>98</v>
      </c>
      <c r="C20" s="9"/>
      <c r="D20" s="9"/>
      <c r="E20" s="9"/>
      <c r="F20" s="9"/>
      <c r="G20" s="9"/>
      <c r="H20" s="10"/>
      <c r="I20" s="10"/>
      <c r="J20" s="10"/>
      <c r="K20" s="10"/>
      <c r="L20" s="10"/>
      <c r="M20" s="10"/>
      <c r="N20" s="10"/>
      <c r="O20" s="10"/>
      <c r="P20" s="10"/>
      <c r="Q20" s="10"/>
      <c r="R20" s="10"/>
      <c r="S20" s="10"/>
      <c r="T20" s="10"/>
      <c r="U20" s="11"/>
      <c r="V20" s="33"/>
    </row>
    <row r="21" spans="1:22" ht="26.25" customHeight="1" thickTop="1">
      <c r="B21" s="34"/>
      <c r="C21" s="35"/>
      <c r="D21" s="35"/>
      <c r="E21" s="35"/>
      <c r="F21" s="35"/>
      <c r="G21" s="35"/>
      <c r="H21" s="36"/>
      <c r="I21" s="36"/>
      <c r="J21" s="36"/>
      <c r="K21" s="36"/>
      <c r="L21" s="36"/>
      <c r="M21" s="36"/>
      <c r="N21" s="36"/>
      <c r="O21" s="36"/>
      <c r="P21" s="37"/>
      <c r="Q21" s="38"/>
      <c r="R21" s="39" t="s">
        <v>99</v>
      </c>
      <c r="S21" s="22" t="s">
        <v>100</v>
      </c>
      <c r="T21" s="39" t="s">
        <v>101</v>
      </c>
      <c r="U21" s="22" t="s">
        <v>102</v>
      </c>
    </row>
    <row r="22" spans="1:22" ht="26.25" customHeight="1" thickBot="1">
      <c r="B22" s="40"/>
      <c r="C22" s="41"/>
      <c r="D22" s="41"/>
      <c r="E22" s="41"/>
      <c r="F22" s="41"/>
      <c r="G22" s="41"/>
      <c r="H22" s="42"/>
      <c r="I22" s="42"/>
      <c r="J22" s="42"/>
      <c r="K22" s="42"/>
      <c r="L22" s="42"/>
      <c r="M22" s="42"/>
      <c r="N22" s="42"/>
      <c r="O22" s="42"/>
      <c r="P22" s="43"/>
      <c r="Q22" s="44"/>
      <c r="R22" s="45" t="s">
        <v>103</v>
      </c>
      <c r="S22" s="44" t="s">
        <v>103</v>
      </c>
      <c r="T22" s="44" t="s">
        <v>103</v>
      </c>
      <c r="U22" s="44" t="s">
        <v>104</v>
      </c>
    </row>
    <row r="23" spans="1:22" ht="13.5" customHeight="1" thickBot="1">
      <c r="B23" s="65" t="s">
        <v>105</v>
      </c>
      <c r="C23" s="66"/>
      <c r="D23" s="66"/>
      <c r="E23" s="46"/>
      <c r="F23" s="46"/>
      <c r="G23" s="46"/>
      <c r="H23" s="47"/>
      <c r="I23" s="47"/>
      <c r="J23" s="47"/>
      <c r="K23" s="47"/>
      <c r="L23" s="47"/>
      <c r="M23" s="47"/>
      <c r="N23" s="47"/>
      <c r="O23" s="47"/>
      <c r="P23" s="48"/>
      <c r="Q23" s="48"/>
      <c r="R23" s="49">
        <f>3522.042129</f>
        <v>3522.0421289999999</v>
      </c>
      <c r="S23" s="49">
        <f>102.312115</f>
        <v>102.31211500000001</v>
      </c>
      <c r="T23" s="49">
        <f>831.69114335</f>
        <v>831.69114334999995</v>
      </c>
      <c r="U23" s="50">
        <f>+IF(ISERR(T23/S23*100),"N/A",T23/S23*100)</f>
        <v>812.89605180188073</v>
      </c>
    </row>
    <row r="24" spans="1:22" ht="13.5" customHeight="1" thickBot="1">
      <c r="B24" s="67" t="s">
        <v>106</v>
      </c>
      <c r="C24" s="68"/>
      <c r="D24" s="68"/>
      <c r="E24" s="51"/>
      <c r="F24" s="51"/>
      <c r="G24" s="51"/>
      <c r="H24" s="52"/>
      <c r="I24" s="52"/>
      <c r="J24" s="52"/>
      <c r="K24" s="52"/>
      <c r="L24" s="52"/>
      <c r="M24" s="52"/>
      <c r="N24" s="52"/>
      <c r="O24" s="52"/>
      <c r="P24" s="53"/>
      <c r="Q24" s="53"/>
      <c r="R24" s="49">
        <f>6353.46231173</f>
        <v>6353.4623117299998</v>
      </c>
      <c r="S24" s="49">
        <f>862.66701483</f>
        <v>862.66701482999997</v>
      </c>
      <c r="T24" s="49">
        <f>831.69114335</f>
        <v>831.69114334999995</v>
      </c>
      <c r="U24" s="50">
        <f>+IF(ISERR(T24/S24*100),"N/A",T24/S24*100)</f>
        <v>96.409289917488707</v>
      </c>
    </row>
    <row r="25" spans="1:22" ht="14.85" customHeight="1" thickTop="1" thickBot="1">
      <c r="B25" s="8" t="s">
        <v>107</v>
      </c>
      <c r="C25" s="9"/>
      <c r="D25" s="9"/>
      <c r="E25" s="9"/>
      <c r="F25" s="9"/>
      <c r="G25" s="9"/>
      <c r="H25" s="10"/>
      <c r="I25" s="10"/>
      <c r="J25" s="10"/>
      <c r="K25" s="10"/>
      <c r="L25" s="10"/>
      <c r="M25" s="10"/>
      <c r="N25" s="10"/>
      <c r="O25" s="10"/>
      <c r="P25" s="10"/>
      <c r="Q25" s="10"/>
      <c r="R25" s="10"/>
      <c r="S25" s="10"/>
      <c r="T25" s="10"/>
      <c r="U25" s="11"/>
    </row>
    <row r="26" spans="1:22" ht="44.25" customHeight="1" thickTop="1">
      <c r="B26" s="69" t="s">
        <v>108</v>
      </c>
      <c r="C26" s="70"/>
      <c r="D26" s="70"/>
      <c r="E26" s="70"/>
      <c r="F26" s="70"/>
      <c r="G26" s="70"/>
      <c r="H26" s="70"/>
      <c r="I26" s="70"/>
      <c r="J26" s="70"/>
      <c r="K26" s="70"/>
      <c r="L26" s="70"/>
      <c r="M26" s="70"/>
      <c r="N26" s="70"/>
      <c r="O26" s="70"/>
      <c r="P26" s="70"/>
      <c r="Q26" s="70"/>
      <c r="R26" s="70"/>
      <c r="S26" s="70"/>
      <c r="T26" s="70"/>
      <c r="U26" s="71"/>
    </row>
    <row r="27" spans="1:22" ht="34.5" customHeight="1">
      <c r="B27" s="59" t="s">
        <v>546</v>
      </c>
      <c r="C27" s="60"/>
      <c r="D27" s="60"/>
      <c r="E27" s="60"/>
      <c r="F27" s="60"/>
      <c r="G27" s="60"/>
      <c r="H27" s="60"/>
      <c r="I27" s="60"/>
      <c r="J27" s="60"/>
      <c r="K27" s="60"/>
      <c r="L27" s="60"/>
      <c r="M27" s="60"/>
      <c r="N27" s="60"/>
      <c r="O27" s="60"/>
      <c r="P27" s="60"/>
      <c r="Q27" s="60"/>
      <c r="R27" s="60"/>
      <c r="S27" s="60"/>
      <c r="T27" s="60"/>
      <c r="U27" s="61"/>
    </row>
    <row r="28" spans="1:22" ht="67.7" customHeight="1">
      <c r="B28" s="59" t="s">
        <v>575</v>
      </c>
      <c r="C28" s="60"/>
      <c r="D28" s="60"/>
      <c r="E28" s="60"/>
      <c r="F28" s="60"/>
      <c r="G28" s="60"/>
      <c r="H28" s="60"/>
      <c r="I28" s="60"/>
      <c r="J28" s="60"/>
      <c r="K28" s="60"/>
      <c r="L28" s="60"/>
      <c r="M28" s="60"/>
      <c r="N28" s="60"/>
      <c r="O28" s="60"/>
      <c r="P28" s="60"/>
      <c r="Q28" s="60"/>
      <c r="R28" s="60"/>
      <c r="S28" s="60"/>
      <c r="T28" s="60"/>
      <c r="U28" s="61"/>
    </row>
    <row r="29" spans="1:22" ht="181.35" customHeight="1">
      <c r="B29" s="59" t="s">
        <v>576</v>
      </c>
      <c r="C29" s="60"/>
      <c r="D29" s="60"/>
      <c r="E29" s="60"/>
      <c r="F29" s="60"/>
      <c r="G29" s="60"/>
      <c r="H29" s="60"/>
      <c r="I29" s="60"/>
      <c r="J29" s="60"/>
      <c r="K29" s="60"/>
      <c r="L29" s="60"/>
      <c r="M29" s="60"/>
      <c r="N29" s="60"/>
      <c r="O29" s="60"/>
      <c r="P29" s="60"/>
      <c r="Q29" s="60"/>
      <c r="R29" s="60"/>
      <c r="S29" s="60"/>
      <c r="T29" s="60"/>
      <c r="U29" s="61"/>
    </row>
    <row r="30" spans="1:22" ht="53.85" customHeight="1">
      <c r="B30" s="59" t="s">
        <v>577</v>
      </c>
      <c r="C30" s="60"/>
      <c r="D30" s="60"/>
      <c r="E30" s="60"/>
      <c r="F30" s="60"/>
      <c r="G30" s="60"/>
      <c r="H30" s="60"/>
      <c r="I30" s="60"/>
      <c r="J30" s="60"/>
      <c r="K30" s="60"/>
      <c r="L30" s="60"/>
      <c r="M30" s="60"/>
      <c r="N30" s="60"/>
      <c r="O30" s="60"/>
      <c r="P30" s="60"/>
      <c r="Q30" s="60"/>
      <c r="R30" s="60"/>
      <c r="S30" s="60"/>
      <c r="T30" s="60"/>
      <c r="U30" s="61"/>
    </row>
    <row r="31" spans="1:22" ht="233.45" customHeight="1">
      <c r="B31" s="59" t="s">
        <v>578</v>
      </c>
      <c r="C31" s="60"/>
      <c r="D31" s="60"/>
      <c r="E31" s="60"/>
      <c r="F31" s="60"/>
      <c r="G31" s="60"/>
      <c r="H31" s="60"/>
      <c r="I31" s="60"/>
      <c r="J31" s="60"/>
      <c r="K31" s="60"/>
      <c r="L31" s="60"/>
      <c r="M31" s="60"/>
      <c r="N31" s="60"/>
      <c r="O31" s="60"/>
      <c r="P31" s="60"/>
      <c r="Q31" s="60"/>
      <c r="R31" s="60"/>
      <c r="S31" s="60"/>
      <c r="T31" s="60"/>
      <c r="U31" s="61"/>
    </row>
    <row r="32" spans="1:22" ht="67.5" customHeight="1">
      <c r="B32" s="59" t="s">
        <v>579</v>
      </c>
      <c r="C32" s="60"/>
      <c r="D32" s="60"/>
      <c r="E32" s="60"/>
      <c r="F32" s="60"/>
      <c r="G32" s="60"/>
      <c r="H32" s="60"/>
      <c r="I32" s="60"/>
      <c r="J32" s="60"/>
      <c r="K32" s="60"/>
      <c r="L32" s="60"/>
      <c r="M32" s="60"/>
      <c r="N32" s="60"/>
      <c r="O32" s="60"/>
      <c r="P32" s="60"/>
      <c r="Q32" s="60"/>
      <c r="R32" s="60"/>
      <c r="S32" s="60"/>
      <c r="T32" s="60"/>
      <c r="U32" s="61"/>
    </row>
    <row r="33" spans="2:21" ht="33" customHeight="1">
      <c r="B33" s="59" t="s">
        <v>580</v>
      </c>
      <c r="C33" s="60"/>
      <c r="D33" s="60"/>
      <c r="E33" s="60"/>
      <c r="F33" s="60"/>
      <c r="G33" s="60"/>
      <c r="H33" s="60"/>
      <c r="I33" s="60"/>
      <c r="J33" s="60"/>
      <c r="K33" s="60"/>
      <c r="L33" s="60"/>
      <c r="M33" s="60"/>
      <c r="N33" s="60"/>
      <c r="O33" s="60"/>
      <c r="P33" s="60"/>
      <c r="Q33" s="60"/>
      <c r="R33" s="60"/>
      <c r="S33" s="60"/>
      <c r="T33" s="60"/>
      <c r="U33" s="61"/>
    </row>
    <row r="34" spans="2:21" ht="49.35" customHeight="1">
      <c r="B34" s="59" t="s">
        <v>581</v>
      </c>
      <c r="C34" s="60"/>
      <c r="D34" s="60"/>
      <c r="E34" s="60"/>
      <c r="F34" s="60"/>
      <c r="G34" s="60"/>
      <c r="H34" s="60"/>
      <c r="I34" s="60"/>
      <c r="J34" s="60"/>
      <c r="K34" s="60"/>
      <c r="L34" s="60"/>
      <c r="M34" s="60"/>
      <c r="N34" s="60"/>
      <c r="O34" s="60"/>
      <c r="P34" s="60"/>
      <c r="Q34" s="60"/>
      <c r="R34" s="60"/>
      <c r="S34" s="60"/>
      <c r="T34" s="60"/>
      <c r="U34" s="61"/>
    </row>
    <row r="35" spans="2:21" ht="159.94999999999999" customHeight="1" thickBot="1">
      <c r="B35" s="62" t="s">
        <v>582</v>
      </c>
      <c r="C35" s="63"/>
      <c r="D35" s="63"/>
      <c r="E35" s="63"/>
      <c r="F35" s="63"/>
      <c r="G35" s="63"/>
      <c r="H35" s="63"/>
      <c r="I35" s="63"/>
      <c r="J35" s="63"/>
      <c r="K35" s="63"/>
      <c r="L35" s="63"/>
      <c r="M35" s="63"/>
      <c r="N35" s="63"/>
      <c r="O35" s="63"/>
      <c r="P35" s="63"/>
      <c r="Q35" s="63"/>
      <c r="R35" s="63"/>
      <c r="S35" s="63"/>
      <c r="T35" s="63"/>
      <c r="U35" s="64"/>
    </row>
  </sheetData>
  <mergeCells count="6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B35:U35"/>
    <mergeCell ref="B23:D23"/>
    <mergeCell ref="B24:D24"/>
    <mergeCell ref="B26:U26"/>
    <mergeCell ref="B27:U27"/>
    <mergeCell ref="B28:U28"/>
    <mergeCell ref="B29:U29"/>
    <mergeCell ref="B30:U30"/>
    <mergeCell ref="B31:U31"/>
    <mergeCell ref="B32:U32"/>
    <mergeCell ref="B33:U33"/>
    <mergeCell ref="B34:U34"/>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5"/>
  <sheetViews>
    <sheetView view="pageBreakPreview" zoomScale="80" zoomScaleNormal="80" zoomScaleSheetLayoutView="80" workbookViewId="0">
      <selection activeCell="D7" sqref="D7"/>
    </sheetView>
  </sheetViews>
  <sheetFormatPr baseColWidth="10" defaultColWidth="10" defaultRowHeight="12.75"/>
  <cols>
    <col min="1" max="1" width="3.42578125" style="1" customWidth="1"/>
    <col min="2" max="2" width="13.7109375" style="1" customWidth="1"/>
    <col min="3" max="3" width="5.85546875" style="1" customWidth="1"/>
    <col min="4" max="4" width="8.5703125" style="1" customWidth="1"/>
    <col min="5" max="5" width="9.7109375" style="1" customWidth="1"/>
    <col min="6" max="6" width="4.42578125" style="1" customWidth="1"/>
    <col min="7" max="7" width="0.28515625" style="1" customWidth="1"/>
    <col min="8" max="8" width="2.28515625" style="1" customWidth="1"/>
    <col min="9" max="9" width="6.5703125" style="1" customWidth="1"/>
    <col min="10" max="10" width="7.85546875" style="1" customWidth="1"/>
    <col min="11" max="11" width="9.42578125" style="1" customWidth="1"/>
    <col min="12" max="12" width="7.7109375" style="1" customWidth="1"/>
    <col min="13" max="13" width="6.140625" style="1" customWidth="1"/>
    <col min="14" max="14" width="8.28515625" style="1" customWidth="1"/>
    <col min="15" max="15" width="11.140625" style="1" customWidth="1"/>
    <col min="16" max="16" width="11.5703125" style="1" customWidth="1"/>
    <col min="17" max="17" width="12.140625" style="1" customWidth="1"/>
    <col min="18" max="18" width="9" style="1" customWidth="1"/>
    <col min="19" max="19" width="13" style="1" customWidth="1"/>
    <col min="20" max="20" width="10.7109375" style="1" customWidth="1"/>
    <col min="21" max="21" width="10.42578125" style="1" customWidth="1"/>
    <col min="22" max="22" width="11.42578125" style="1" customWidth="1"/>
    <col min="23" max="23" width="10.7109375" style="1" customWidth="1"/>
    <col min="24" max="24" width="8.42578125" style="1" customWidth="1"/>
    <col min="25" max="25" width="8.7109375" style="1" customWidth="1"/>
    <col min="26" max="26" width="9.5703125" style="1" customWidth="1"/>
    <col min="27" max="29" width="10" style="1"/>
    <col min="30" max="30" width="15.42578125" style="1" customWidth="1"/>
    <col min="31" max="16384" width="10" style="1"/>
  </cols>
  <sheetData>
    <row r="1" spans="1:34" s="2" customFormat="1" ht="48" customHeight="1">
      <c r="A1" s="3"/>
      <c r="B1" s="98" t="s">
        <v>583</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7</v>
      </c>
      <c r="D4" s="99" t="s">
        <v>8</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v>
      </c>
      <c r="D6" s="80"/>
      <c r="E6" s="80"/>
      <c r="F6" s="80"/>
      <c r="G6" s="80"/>
      <c r="H6" s="18"/>
      <c r="I6" s="18"/>
      <c r="J6" s="18" t="s">
        <v>18</v>
      </c>
      <c r="K6" s="80" t="s">
        <v>19</v>
      </c>
      <c r="L6" s="80"/>
      <c r="M6" s="80"/>
      <c r="N6" s="19"/>
      <c r="O6" s="20" t="s">
        <v>20</v>
      </c>
      <c r="P6" s="80" t="s">
        <v>21</v>
      </c>
      <c r="Q6" s="80"/>
      <c r="R6" s="21"/>
      <c r="S6" s="20" t="s">
        <v>22</v>
      </c>
      <c r="T6" s="80" t="s">
        <v>23</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c r="A11" s="25"/>
      <c r="B11" s="26" t="s">
        <v>38</v>
      </c>
      <c r="C11" s="73" t="s">
        <v>39</v>
      </c>
      <c r="D11" s="73"/>
      <c r="E11" s="73"/>
      <c r="F11" s="73"/>
      <c r="G11" s="73"/>
      <c r="H11" s="73"/>
      <c r="I11" s="73" t="s">
        <v>40</v>
      </c>
      <c r="J11" s="73"/>
      <c r="K11" s="73"/>
      <c r="L11" s="73" t="s">
        <v>41</v>
      </c>
      <c r="M11" s="73"/>
      <c r="N11" s="73"/>
      <c r="O11" s="73"/>
      <c r="P11" s="27" t="s">
        <v>42</v>
      </c>
      <c r="Q11" s="27" t="s">
        <v>43</v>
      </c>
      <c r="R11" s="27">
        <v>5</v>
      </c>
      <c r="S11" s="27">
        <v>5</v>
      </c>
      <c r="T11" s="27">
        <v>4.4000000000000004</v>
      </c>
      <c r="U11" s="28">
        <f>IF(ISERR((S11-T11)*100/S11+100),"N/A",(S11-T11)*100/S11+100)</f>
        <v>112</v>
      </c>
    </row>
    <row r="12" spans="1:34" ht="75" customHeight="1">
      <c r="A12" s="25"/>
      <c r="B12" s="29" t="s">
        <v>44</v>
      </c>
      <c r="C12" s="72" t="s">
        <v>44</v>
      </c>
      <c r="D12" s="72"/>
      <c r="E12" s="72"/>
      <c r="F12" s="72"/>
      <c r="G12" s="72"/>
      <c r="H12" s="72"/>
      <c r="I12" s="72" t="s">
        <v>45</v>
      </c>
      <c r="J12" s="72"/>
      <c r="K12" s="72"/>
      <c r="L12" s="72" t="s">
        <v>46</v>
      </c>
      <c r="M12" s="72"/>
      <c r="N12" s="72"/>
      <c r="O12" s="72"/>
      <c r="P12" s="30" t="s">
        <v>47</v>
      </c>
      <c r="Q12" s="30" t="s">
        <v>48</v>
      </c>
      <c r="R12" s="31">
        <v>12</v>
      </c>
      <c r="S12" s="31" t="s">
        <v>49</v>
      </c>
      <c r="T12" s="31" t="s">
        <v>49</v>
      </c>
      <c r="U12" s="32" t="str">
        <f>IF(ISERR((S12-T12)*100/S12+100),"N/A",(S12-T12)*100/S12+100)</f>
        <v>N/A</v>
      </c>
    </row>
    <row r="13" spans="1:34" ht="75" customHeight="1">
      <c r="A13" s="25"/>
      <c r="B13" s="29" t="s">
        <v>44</v>
      </c>
      <c r="C13" s="72" t="s">
        <v>44</v>
      </c>
      <c r="D13" s="72"/>
      <c r="E13" s="72"/>
      <c r="F13" s="72"/>
      <c r="G13" s="72"/>
      <c r="H13" s="72"/>
      <c r="I13" s="72" t="s">
        <v>50</v>
      </c>
      <c r="J13" s="72"/>
      <c r="K13" s="72"/>
      <c r="L13" s="72" t="s">
        <v>51</v>
      </c>
      <c r="M13" s="72"/>
      <c r="N13" s="72"/>
      <c r="O13" s="72"/>
      <c r="P13" s="30" t="s">
        <v>42</v>
      </c>
      <c r="Q13" s="30" t="s">
        <v>43</v>
      </c>
      <c r="R13" s="30">
        <v>9.5</v>
      </c>
      <c r="S13" s="30">
        <v>9.5</v>
      </c>
      <c r="T13" s="30">
        <v>8.5</v>
      </c>
      <c r="U13" s="32">
        <f>IF(ISERR((S13-T13)*100/S13+100),"N/A",(S13-T13)*100/S13+100)</f>
        <v>110.52631578947368</v>
      </c>
    </row>
    <row r="14" spans="1:34" ht="75" customHeight="1">
      <c r="A14" s="25"/>
      <c r="B14" s="29" t="s">
        <v>44</v>
      </c>
      <c r="C14" s="72" t="s">
        <v>44</v>
      </c>
      <c r="D14" s="72"/>
      <c r="E14" s="72"/>
      <c r="F14" s="72"/>
      <c r="G14" s="72"/>
      <c r="H14" s="72"/>
      <c r="I14" s="72" t="s">
        <v>52</v>
      </c>
      <c r="J14" s="72"/>
      <c r="K14" s="72"/>
      <c r="L14" s="72" t="s">
        <v>53</v>
      </c>
      <c r="M14" s="72"/>
      <c r="N14" s="72"/>
      <c r="O14" s="72"/>
      <c r="P14" s="30" t="s">
        <v>47</v>
      </c>
      <c r="Q14" s="30" t="s">
        <v>43</v>
      </c>
      <c r="R14" s="31">
        <v>84.6</v>
      </c>
      <c r="S14" s="31" t="s">
        <v>49</v>
      </c>
      <c r="T14" s="31">
        <v>40.46</v>
      </c>
      <c r="U14" s="32" t="str">
        <f>IF(ISERR(T14/S14*100),"N/A",T14/S14*100)</f>
        <v>N/A</v>
      </c>
    </row>
    <row r="15" spans="1:34" ht="75" customHeight="1">
      <c r="A15" s="25"/>
      <c r="B15" s="29" t="s">
        <v>44</v>
      </c>
      <c r="C15" s="72" t="s">
        <v>44</v>
      </c>
      <c r="D15" s="72"/>
      <c r="E15" s="72"/>
      <c r="F15" s="72"/>
      <c r="G15" s="72"/>
      <c r="H15" s="72"/>
      <c r="I15" s="72" t="s">
        <v>54</v>
      </c>
      <c r="J15" s="72"/>
      <c r="K15" s="72"/>
      <c r="L15" s="72" t="s">
        <v>55</v>
      </c>
      <c r="M15" s="72"/>
      <c r="N15" s="72"/>
      <c r="O15" s="72"/>
      <c r="P15" s="30" t="s">
        <v>42</v>
      </c>
      <c r="Q15" s="30" t="s">
        <v>43</v>
      </c>
      <c r="R15" s="30">
        <v>0.85</v>
      </c>
      <c r="S15" s="30">
        <v>0.85</v>
      </c>
      <c r="T15" s="30">
        <v>0.59</v>
      </c>
      <c r="U15" s="32">
        <f>IF(ISERR((S15-T15)*100/S15+100),"N/A",(S15-T15)*100/S15+100)</f>
        <v>130.58823529411765</v>
      </c>
    </row>
    <row r="16" spans="1:34" ht="75" customHeight="1">
      <c r="A16" s="25"/>
      <c r="B16" s="29" t="s">
        <v>44</v>
      </c>
      <c r="C16" s="72" t="s">
        <v>44</v>
      </c>
      <c r="D16" s="72"/>
      <c r="E16" s="72"/>
      <c r="F16" s="72"/>
      <c r="G16" s="72"/>
      <c r="H16" s="72"/>
      <c r="I16" s="72" t="s">
        <v>56</v>
      </c>
      <c r="J16" s="72"/>
      <c r="K16" s="72"/>
      <c r="L16" s="72" t="s">
        <v>57</v>
      </c>
      <c r="M16" s="72"/>
      <c r="N16" s="72"/>
      <c r="O16" s="72"/>
      <c r="P16" s="30" t="s">
        <v>58</v>
      </c>
      <c r="Q16" s="30" t="s">
        <v>43</v>
      </c>
      <c r="R16" s="31">
        <v>78.19</v>
      </c>
      <c r="S16" s="31">
        <v>78.19</v>
      </c>
      <c r="T16" s="31">
        <v>78.39</v>
      </c>
      <c r="U16" s="32">
        <f>IF(ISERR(T16/S16*100),"N/A",T16/S16*100)</f>
        <v>100.25578718506203</v>
      </c>
    </row>
    <row r="17" spans="1:22" ht="75" customHeight="1" thickBot="1">
      <c r="A17" s="25"/>
      <c r="B17" s="29" t="s">
        <v>44</v>
      </c>
      <c r="C17" s="72" t="s">
        <v>44</v>
      </c>
      <c r="D17" s="72"/>
      <c r="E17" s="72"/>
      <c r="F17" s="72"/>
      <c r="G17" s="72"/>
      <c r="H17" s="72"/>
      <c r="I17" s="72" t="s">
        <v>59</v>
      </c>
      <c r="J17" s="72"/>
      <c r="K17" s="72"/>
      <c r="L17" s="72" t="s">
        <v>60</v>
      </c>
      <c r="M17" s="72"/>
      <c r="N17" s="72"/>
      <c r="O17" s="72"/>
      <c r="P17" s="30" t="s">
        <v>47</v>
      </c>
      <c r="Q17" s="30" t="s">
        <v>61</v>
      </c>
      <c r="R17" s="31">
        <v>90</v>
      </c>
      <c r="S17" s="31" t="s">
        <v>49</v>
      </c>
      <c r="T17" s="31">
        <v>65.400000000000006</v>
      </c>
      <c r="U17" s="32" t="str">
        <f>IF(ISERR(T17/S17*100),"N/A",T17/S17*100)</f>
        <v>N/A</v>
      </c>
    </row>
    <row r="18" spans="1:22" ht="75" customHeight="1" thickTop="1">
      <c r="A18" s="25"/>
      <c r="B18" s="26" t="s">
        <v>62</v>
      </c>
      <c r="C18" s="73" t="s">
        <v>63</v>
      </c>
      <c r="D18" s="73"/>
      <c r="E18" s="73"/>
      <c r="F18" s="73"/>
      <c r="G18" s="73"/>
      <c r="H18" s="73"/>
      <c r="I18" s="73" t="s">
        <v>64</v>
      </c>
      <c r="J18" s="73"/>
      <c r="K18" s="73"/>
      <c r="L18" s="73" t="s">
        <v>65</v>
      </c>
      <c r="M18" s="73"/>
      <c r="N18" s="73"/>
      <c r="O18" s="73"/>
      <c r="P18" s="27" t="s">
        <v>47</v>
      </c>
      <c r="Q18" s="27" t="s">
        <v>43</v>
      </c>
      <c r="R18" s="27">
        <v>12</v>
      </c>
      <c r="S18" s="27">
        <v>12</v>
      </c>
      <c r="T18" s="27">
        <v>12.2</v>
      </c>
      <c r="U18" s="28">
        <f>IF(ISERR((S18-T18)*100/S18+100),"N/A",(S18-T18)*100/S18+100)</f>
        <v>98.333333333333343</v>
      </c>
    </row>
    <row r="19" spans="1:22" ht="75" customHeight="1">
      <c r="A19" s="25"/>
      <c r="B19" s="29" t="s">
        <v>44</v>
      </c>
      <c r="C19" s="72" t="s">
        <v>44</v>
      </c>
      <c r="D19" s="72"/>
      <c r="E19" s="72"/>
      <c r="F19" s="72"/>
      <c r="G19" s="72"/>
      <c r="H19" s="72"/>
      <c r="I19" s="72" t="s">
        <v>66</v>
      </c>
      <c r="J19" s="72"/>
      <c r="K19" s="72"/>
      <c r="L19" s="72" t="s">
        <v>67</v>
      </c>
      <c r="M19" s="72"/>
      <c r="N19" s="72"/>
      <c r="O19" s="72"/>
      <c r="P19" s="30" t="s">
        <v>47</v>
      </c>
      <c r="Q19" s="30" t="s">
        <v>43</v>
      </c>
      <c r="R19" s="30">
        <v>66.5</v>
      </c>
      <c r="S19" s="30">
        <v>66.5</v>
      </c>
      <c r="T19" s="30">
        <v>59.5</v>
      </c>
      <c r="U19" s="32">
        <f>IF(ISERR(T19/S19*100),"N/A",T19/S19*100)</f>
        <v>89.473684210526315</v>
      </c>
    </row>
    <row r="20" spans="1:22" ht="75" customHeight="1" thickBot="1">
      <c r="A20" s="25"/>
      <c r="B20" s="29" t="s">
        <v>44</v>
      </c>
      <c r="C20" s="72" t="s">
        <v>44</v>
      </c>
      <c r="D20" s="72"/>
      <c r="E20" s="72"/>
      <c r="F20" s="72"/>
      <c r="G20" s="72"/>
      <c r="H20" s="72"/>
      <c r="I20" s="72" t="s">
        <v>68</v>
      </c>
      <c r="J20" s="72"/>
      <c r="K20" s="72"/>
      <c r="L20" s="72" t="s">
        <v>69</v>
      </c>
      <c r="M20" s="72"/>
      <c r="N20" s="72"/>
      <c r="O20" s="72"/>
      <c r="P20" s="30" t="s">
        <v>70</v>
      </c>
      <c r="Q20" s="30" t="s">
        <v>43</v>
      </c>
      <c r="R20" s="30">
        <v>10.07</v>
      </c>
      <c r="S20" s="30">
        <v>10.07</v>
      </c>
      <c r="T20" s="30">
        <v>10.1</v>
      </c>
      <c r="U20" s="32">
        <f>IF(ISERR((S20-T20)*100/S20+100),"N/A",(S20-T20)*100/S20+100)</f>
        <v>99.702085402184707</v>
      </c>
    </row>
    <row r="21" spans="1:22" ht="75" customHeight="1" thickTop="1">
      <c r="A21" s="25"/>
      <c r="B21" s="26" t="s">
        <v>71</v>
      </c>
      <c r="C21" s="73" t="s">
        <v>72</v>
      </c>
      <c r="D21" s="73"/>
      <c r="E21" s="73"/>
      <c r="F21" s="73"/>
      <c r="G21" s="73"/>
      <c r="H21" s="73"/>
      <c r="I21" s="73" t="s">
        <v>73</v>
      </c>
      <c r="J21" s="73"/>
      <c r="K21" s="73"/>
      <c r="L21" s="73" t="s">
        <v>74</v>
      </c>
      <c r="M21" s="73"/>
      <c r="N21" s="73"/>
      <c r="O21" s="73"/>
      <c r="P21" s="27" t="s">
        <v>47</v>
      </c>
      <c r="Q21" s="27" t="s">
        <v>75</v>
      </c>
      <c r="R21" s="27">
        <v>30</v>
      </c>
      <c r="S21" s="27">
        <v>30</v>
      </c>
      <c r="T21" s="27">
        <v>23.98</v>
      </c>
      <c r="U21" s="28">
        <f t="shared" ref="U21:U29" si="0">IF(ISERR(T21/S21*100),"N/A",T21/S21*100)</f>
        <v>79.933333333333337</v>
      </c>
    </row>
    <row r="22" spans="1:22" ht="75" customHeight="1">
      <c r="A22" s="25"/>
      <c r="B22" s="29" t="s">
        <v>44</v>
      </c>
      <c r="C22" s="72" t="s">
        <v>44</v>
      </c>
      <c r="D22" s="72"/>
      <c r="E22" s="72"/>
      <c r="F22" s="72"/>
      <c r="G22" s="72"/>
      <c r="H22" s="72"/>
      <c r="I22" s="72" t="s">
        <v>76</v>
      </c>
      <c r="J22" s="72"/>
      <c r="K22" s="72"/>
      <c r="L22" s="72" t="s">
        <v>77</v>
      </c>
      <c r="M22" s="72"/>
      <c r="N22" s="72"/>
      <c r="O22" s="72"/>
      <c r="P22" s="30" t="s">
        <v>47</v>
      </c>
      <c r="Q22" s="30" t="s">
        <v>75</v>
      </c>
      <c r="R22" s="30">
        <v>33</v>
      </c>
      <c r="S22" s="30">
        <v>33</v>
      </c>
      <c r="T22" s="30">
        <v>21.11</v>
      </c>
      <c r="U22" s="32">
        <f t="shared" si="0"/>
        <v>63.969696969696969</v>
      </c>
    </row>
    <row r="23" spans="1:22" ht="75" customHeight="1">
      <c r="A23" s="25"/>
      <c r="B23" s="29" t="s">
        <v>44</v>
      </c>
      <c r="C23" s="72" t="s">
        <v>44</v>
      </c>
      <c r="D23" s="72"/>
      <c r="E23" s="72"/>
      <c r="F23" s="72"/>
      <c r="G23" s="72"/>
      <c r="H23" s="72"/>
      <c r="I23" s="72" t="s">
        <v>78</v>
      </c>
      <c r="J23" s="72"/>
      <c r="K23" s="72"/>
      <c r="L23" s="72" t="s">
        <v>79</v>
      </c>
      <c r="M23" s="72"/>
      <c r="N23" s="72"/>
      <c r="O23" s="72"/>
      <c r="P23" s="30" t="s">
        <v>47</v>
      </c>
      <c r="Q23" s="30" t="s">
        <v>75</v>
      </c>
      <c r="R23" s="30">
        <v>95</v>
      </c>
      <c r="S23" s="30">
        <v>95</v>
      </c>
      <c r="T23" s="30">
        <v>88.84</v>
      </c>
      <c r="U23" s="32">
        <f t="shared" si="0"/>
        <v>93.515789473684222</v>
      </c>
    </row>
    <row r="24" spans="1:22" ht="75" customHeight="1">
      <c r="A24" s="25"/>
      <c r="B24" s="29" t="s">
        <v>44</v>
      </c>
      <c r="C24" s="72" t="s">
        <v>44</v>
      </c>
      <c r="D24" s="72"/>
      <c r="E24" s="72"/>
      <c r="F24" s="72"/>
      <c r="G24" s="72"/>
      <c r="H24" s="72"/>
      <c r="I24" s="72" t="s">
        <v>80</v>
      </c>
      <c r="J24" s="72"/>
      <c r="K24" s="72"/>
      <c r="L24" s="72" t="s">
        <v>81</v>
      </c>
      <c r="M24" s="72"/>
      <c r="N24" s="72"/>
      <c r="O24" s="72"/>
      <c r="P24" s="30" t="s">
        <v>47</v>
      </c>
      <c r="Q24" s="30" t="s">
        <v>75</v>
      </c>
      <c r="R24" s="30">
        <v>20</v>
      </c>
      <c r="S24" s="30">
        <v>20</v>
      </c>
      <c r="T24" s="30">
        <v>19.97</v>
      </c>
      <c r="U24" s="32">
        <f t="shared" si="0"/>
        <v>99.85</v>
      </c>
    </row>
    <row r="25" spans="1:22" ht="75" customHeight="1">
      <c r="A25" s="25"/>
      <c r="B25" s="29" t="s">
        <v>44</v>
      </c>
      <c r="C25" s="72" t="s">
        <v>44</v>
      </c>
      <c r="D25" s="72"/>
      <c r="E25" s="72"/>
      <c r="F25" s="72"/>
      <c r="G25" s="72"/>
      <c r="H25" s="72"/>
      <c r="I25" s="72" t="s">
        <v>82</v>
      </c>
      <c r="J25" s="72"/>
      <c r="K25" s="72"/>
      <c r="L25" s="72" t="s">
        <v>83</v>
      </c>
      <c r="M25" s="72"/>
      <c r="N25" s="72"/>
      <c r="O25" s="72"/>
      <c r="P25" s="30" t="s">
        <v>47</v>
      </c>
      <c r="Q25" s="30" t="s">
        <v>75</v>
      </c>
      <c r="R25" s="30">
        <v>65</v>
      </c>
      <c r="S25" s="30">
        <v>65</v>
      </c>
      <c r="T25" s="30">
        <v>61.35</v>
      </c>
      <c r="U25" s="32">
        <f t="shared" si="0"/>
        <v>94.384615384615387</v>
      </c>
    </row>
    <row r="26" spans="1:22" ht="75" customHeight="1" thickBot="1">
      <c r="A26" s="25"/>
      <c r="B26" s="29" t="s">
        <v>44</v>
      </c>
      <c r="C26" s="72" t="s">
        <v>84</v>
      </c>
      <c r="D26" s="72"/>
      <c r="E26" s="72"/>
      <c r="F26" s="72"/>
      <c r="G26" s="72"/>
      <c r="H26" s="72"/>
      <c r="I26" s="72" t="s">
        <v>85</v>
      </c>
      <c r="J26" s="72"/>
      <c r="K26" s="72"/>
      <c r="L26" s="72" t="s">
        <v>86</v>
      </c>
      <c r="M26" s="72"/>
      <c r="N26" s="72"/>
      <c r="O26" s="72"/>
      <c r="P26" s="30" t="s">
        <v>47</v>
      </c>
      <c r="Q26" s="30" t="s">
        <v>75</v>
      </c>
      <c r="R26" s="30">
        <v>95</v>
      </c>
      <c r="S26" s="30">
        <v>95</v>
      </c>
      <c r="T26" s="30">
        <v>80.7</v>
      </c>
      <c r="U26" s="32">
        <f t="shared" si="0"/>
        <v>84.947368421052644</v>
      </c>
    </row>
    <row r="27" spans="1:22" ht="75" customHeight="1" thickTop="1">
      <c r="A27" s="25"/>
      <c r="B27" s="26" t="s">
        <v>87</v>
      </c>
      <c r="C27" s="73" t="s">
        <v>88</v>
      </c>
      <c r="D27" s="73"/>
      <c r="E27" s="73"/>
      <c r="F27" s="73"/>
      <c r="G27" s="73"/>
      <c r="H27" s="73"/>
      <c r="I27" s="73" t="s">
        <v>89</v>
      </c>
      <c r="J27" s="73"/>
      <c r="K27" s="73"/>
      <c r="L27" s="73" t="s">
        <v>90</v>
      </c>
      <c r="M27" s="73"/>
      <c r="N27" s="73"/>
      <c r="O27" s="73"/>
      <c r="P27" s="27" t="s">
        <v>47</v>
      </c>
      <c r="Q27" s="27" t="s">
        <v>91</v>
      </c>
      <c r="R27" s="27">
        <v>99.7</v>
      </c>
      <c r="S27" s="27">
        <v>99.7</v>
      </c>
      <c r="T27" s="27">
        <v>99.8</v>
      </c>
      <c r="U27" s="28">
        <f t="shared" si="0"/>
        <v>100.10030090270811</v>
      </c>
    </row>
    <row r="28" spans="1:22" ht="75" customHeight="1">
      <c r="A28" s="25"/>
      <c r="B28" s="29" t="s">
        <v>44</v>
      </c>
      <c r="C28" s="72" t="s">
        <v>92</v>
      </c>
      <c r="D28" s="72"/>
      <c r="E28" s="72"/>
      <c r="F28" s="72"/>
      <c r="G28" s="72"/>
      <c r="H28" s="72"/>
      <c r="I28" s="72" t="s">
        <v>93</v>
      </c>
      <c r="J28" s="72"/>
      <c r="K28" s="72"/>
      <c r="L28" s="72" t="s">
        <v>94</v>
      </c>
      <c r="M28" s="72"/>
      <c r="N28" s="72"/>
      <c r="O28" s="72"/>
      <c r="P28" s="30" t="s">
        <v>47</v>
      </c>
      <c r="Q28" s="30" t="s">
        <v>91</v>
      </c>
      <c r="R28" s="30">
        <v>64</v>
      </c>
      <c r="S28" s="30">
        <v>64</v>
      </c>
      <c r="T28" s="30">
        <v>60.03</v>
      </c>
      <c r="U28" s="32">
        <f t="shared" si="0"/>
        <v>93.796875</v>
      </c>
    </row>
    <row r="29" spans="1:22" ht="75" customHeight="1" thickBot="1">
      <c r="A29" s="25"/>
      <c r="B29" s="29" t="s">
        <v>44</v>
      </c>
      <c r="C29" s="72" t="s">
        <v>95</v>
      </c>
      <c r="D29" s="72"/>
      <c r="E29" s="72"/>
      <c r="F29" s="72"/>
      <c r="G29" s="72"/>
      <c r="H29" s="72"/>
      <c r="I29" s="72" t="s">
        <v>96</v>
      </c>
      <c r="J29" s="72"/>
      <c r="K29" s="72"/>
      <c r="L29" s="72" t="s">
        <v>97</v>
      </c>
      <c r="M29" s="72"/>
      <c r="N29" s="72"/>
      <c r="O29" s="72"/>
      <c r="P29" s="30" t="s">
        <v>47</v>
      </c>
      <c r="Q29" s="30" t="s">
        <v>91</v>
      </c>
      <c r="R29" s="30">
        <v>95</v>
      </c>
      <c r="S29" s="30">
        <v>95</v>
      </c>
      <c r="T29" s="30">
        <v>91.2</v>
      </c>
      <c r="U29" s="32">
        <f t="shared" si="0"/>
        <v>96.000000000000014</v>
      </c>
    </row>
    <row r="30" spans="1:22" ht="22.5" customHeight="1" thickTop="1" thickBot="1">
      <c r="B30" s="8" t="s">
        <v>98</v>
      </c>
      <c r="C30" s="9"/>
      <c r="D30" s="9"/>
      <c r="E30" s="9"/>
      <c r="F30" s="9"/>
      <c r="G30" s="9"/>
      <c r="H30" s="10"/>
      <c r="I30" s="10"/>
      <c r="J30" s="10"/>
      <c r="K30" s="10"/>
      <c r="L30" s="10"/>
      <c r="M30" s="10"/>
      <c r="N30" s="10"/>
      <c r="O30" s="10"/>
      <c r="P30" s="10"/>
      <c r="Q30" s="10"/>
      <c r="R30" s="10"/>
      <c r="S30" s="10"/>
      <c r="T30" s="10"/>
      <c r="U30" s="11"/>
      <c r="V30" s="33"/>
    </row>
    <row r="31" spans="1:22" ht="26.25" customHeight="1" thickTop="1">
      <c r="B31" s="34"/>
      <c r="C31" s="35"/>
      <c r="D31" s="35"/>
      <c r="E31" s="35"/>
      <c r="F31" s="35"/>
      <c r="G31" s="35"/>
      <c r="H31" s="36"/>
      <c r="I31" s="36"/>
      <c r="J31" s="36"/>
      <c r="K31" s="36"/>
      <c r="L31" s="36"/>
      <c r="M31" s="36"/>
      <c r="N31" s="36"/>
      <c r="O31" s="36"/>
      <c r="P31" s="37"/>
      <c r="Q31" s="38"/>
      <c r="R31" s="39" t="s">
        <v>99</v>
      </c>
      <c r="S31" s="22" t="s">
        <v>100</v>
      </c>
      <c r="T31" s="39" t="s">
        <v>101</v>
      </c>
      <c r="U31" s="22" t="s">
        <v>102</v>
      </c>
    </row>
    <row r="32" spans="1:22" ht="26.25" customHeight="1" thickBot="1">
      <c r="B32" s="40"/>
      <c r="C32" s="41"/>
      <c r="D32" s="41"/>
      <c r="E32" s="41"/>
      <c r="F32" s="41"/>
      <c r="G32" s="41"/>
      <c r="H32" s="42"/>
      <c r="I32" s="42"/>
      <c r="J32" s="42"/>
      <c r="K32" s="42"/>
      <c r="L32" s="42"/>
      <c r="M32" s="42"/>
      <c r="N32" s="42"/>
      <c r="O32" s="42"/>
      <c r="P32" s="43"/>
      <c r="Q32" s="44"/>
      <c r="R32" s="45" t="s">
        <v>103</v>
      </c>
      <c r="S32" s="44" t="s">
        <v>103</v>
      </c>
      <c r="T32" s="44" t="s">
        <v>103</v>
      </c>
      <c r="U32" s="44" t="s">
        <v>104</v>
      </c>
    </row>
    <row r="33" spans="2:21" ht="13.5" customHeight="1" thickBot="1">
      <c r="B33" s="65" t="s">
        <v>105</v>
      </c>
      <c r="C33" s="66"/>
      <c r="D33" s="66"/>
      <c r="E33" s="46"/>
      <c r="F33" s="46"/>
      <c r="G33" s="46"/>
      <c r="H33" s="47"/>
      <c r="I33" s="47"/>
      <c r="J33" s="47"/>
      <c r="K33" s="47"/>
      <c r="L33" s="47"/>
      <c r="M33" s="47"/>
      <c r="N33" s="47"/>
      <c r="O33" s="47"/>
      <c r="P33" s="48"/>
      <c r="Q33" s="48"/>
      <c r="R33" s="49">
        <f>6260.142448</f>
        <v>6260.1424479999996</v>
      </c>
      <c r="S33" s="49">
        <f>3550.644393</f>
        <v>3550.644393</v>
      </c>
      <c r="T33" s="49">
        <f>3360.36596098999</f>
        <v>3360.3659609899901</v>
      </c>
      <c r="U33" s="50">
        <f>+IF(ISERR(T33/S33*100),"N/A",T33/S33*100)</f>
        <v>94.641016926810835</v>
      </c>
    </row>
    <row r="34" spans="2:21" ht="13.5" customHeight="1" thickBot="1">
      <c r="B34" s="67" t="s">
        <v>106</v>
      </c>
      <c r="C34" s="68"/>
      <c r="D34" s="68"/>
      <c r="E34" s="51"/>
      <c r="F34" s="51"/>
      <c r="G34" s="51"/>
      <c r="H34" s="52"/>
      <c r="I34" s="52"/>
      <c r="J34" s="52"/>
      <c r="K34" s="52"/>
      <c r="L34" s="52"/>
      <c r="M34" s="52"/>
      <c r="N34" s="52"/>
      <c r="O34" s="52"/>
      <c r="P34" s="53"/>
      <c r="Q34" s="53"/>
      <c r="R34" s="49">
        <f>6103.399871</f>
        <v>6103.3998709999996</v>
      </c>
      <c r="S34" s="49">
        <f>4182.127908</f>
        <v>4182.1279080000004</v>
      </c>
      <c r="T34" s="49">
        <f>3360.36596098999</f>
        <v>3360.3659609899901</v>
      </c>
      <c r="U34" s="50">
        <f>+IF(ISERR(T34/S34*100),"N/A",T34/S34*100)</f>
        <v>80.350626162388281</v>
      </c>
    </row>
    <row r="35" spans="2:21" ht="14.85" customHeight="1" thickTop="1" thickBot="1">
      <c r="B35" s="8" t="s">
        <v>107</v>
      </c>
      <c r="C35" s="9"/>
      <c r="D35" s="9"/>
      <c r="E35" s="9"/>
      <c r="F35" s="9"/>
      <c r="G35" s="9"/>
      <c r="H35" s="10"/>
      <c r="I35" s="10"/>
      <c r="J35" s="10"/>
      <c r="K35" s="10"/>
      <c r="L35" s="10"/>
      <c r="M35" s="10"/>
      <c r="N35" s="10"/>
      <c r="O35" s="10"/>
      <c r="P35" s="10"/>
      <c r="Q35" s="10"/>
      <c r="R35" s="10"/>
      <c r="S35" s="10"/>
      <c r="T35" s="10"/>
      <c r="U35" s="11"/>
    </row>
    <row r="36" spans="2:21" ht="44.25" customHeight="1" thickTop="1">
      <c r="B36" s="69" t="s">
        <v>108</v>
      </c>
      <c r="C36" s="70"/>
      <c r="D36" s="70"/>
      <c r="E36" s="70"/>
      <c r="F36" s="70"/>
      <c r="G36" s="70"/>
      <c r="H36" s="70"/>
      <c r="I36" s="70"/>
      <c r="J36" s="70"/>
      <c r="K36" s="70"/>
      <c r="L36" s="70"/>
      <c r="M36" s="70"/>
      <c r="N36" s="70"/>
      <c r="O36" s="70"/>
      <c r="P36" s="70"/>
      <c r="Q36" s="70"/>
      <c r="R36" s="70"/>
      <c r="S36" s="70"/>
      <c r="T36" s="70"/>
      <c r="U36" s="71"/>
    </row>
    <row r="37" spans="2:21" ht="61.7" customHeight="1">
      <c r="B37" s="59" t="s">
        <v>109</v>
      </c>
      <c r="C37" s="60"/>
      <c r="D37" s="60"/>
      <c r="E37" s="60"/>
      <c r="F37" s="60"/>
      <c r="G37" s="60"/>
      <c r="H37" s="60"/>
      <c r="I37" s="60"/>
      <c r="J37" s="60"/>
      <c r="K37" s="60"/>
      <c r="L37" s="60"/>
      <c r="M37" s="60"/>
      <c r="N37" s="60"/>
      <c r="O37" s="60"/>
      <c r="P37" s="60"/>
      <c r="Q37" s="60"/>
      <c r="R37" s="60"/>
      <c r="S37" s="60"/>
      <c r="T37" s="60"/>
      <c r="U37" s="61"/>
    </row>
    <row r="38" spans="2:21" ht="34.5" customHeight="1">
      <c r="B38" s="59" t="s">
        <v>110</v>
      </c>
      <c r="C38" s="60"/>
      <c r="D38" s="60"/>
      <c r="E38" s="60"/>
      <c r="F38" s="60"/>
      <c r="G38" s="60"/>
      <c r="H38" s="60"/>
      <c r="I38" s="60"/>
      <c r="J38" s="60"/>
      <c r="K38" s="60"/>
      <c r="L38" s="60"/>
      <c r="M38" s="60"/>
      <c r="N38" s="60"/>
      <c r="O38" s="60"/>
      <c r="P38" s="60"/>
      <c r="Q38" s="60"/>
      <c r="R38" s="60"/>
      <c r="S38" s="60"/>
      <c r="T38" s="60"/>
      <c r="U38" s="61"/>
    </row>
    <row r="39" spans="2:21" ht="59.25" customHeight="1">
      <c r="B39" s="59" t="s">
        <v>111</v>
      </c>
      <c r="C39" s="60"/>
      <c r="D39" s="60"/>
      <c r="E39" s="60"/>
      <c r="F39" s="60"/>
      <c r="G39" s="60"/>
      <c r="H39" s="60"/>
      <c r="I39" s="60"/>
      <c r="J39" s="60"/>
      <c r="K39" s="60"/>
      <c r="L39" s="60"/>
      <c r="M39" s="60"/>
      <c r="N39" s="60"/>
      <c r="O39" s="60"/>
      <c r="P39" s="60"/>
      <c r="Q39" s="60"/>
      <c r="R39" s="60"/>
      <c r="S39" s="60"/>
      <c r="T39" s="60"/>
      <c r="U39" s="61"/>
    </row>
    <row r="40" spans="2:21" ht="34.5" customHeight="1">
      <c r="B40" s="59" t="s">
        <v>112</v>
      </c>
      <c r="C40" s="60"/>
      <c r="D40" s="60"/>
      <c r="E40" s="60"/>
      <c r="F40" s="60"/>
      <c r="G40" s="60"/>
      <c r="H40" s="60"/>
      <c r="I40" s="60"/>
      <c r="J40" s="60"/>
      <c r="K40" s="60"/>
      <c r="L40" s="60"/>
      <c r="M40" s="60"/>
      <c r="N40" s="60"/>
      <c r="O40" s="60"/>
      <c r="P40" s="60"/>
      <c r="Q40" s="60"/>
      <c r="R40" s="60"/>
      <c r="S40" s="60"/>
      <c r="T40" s="60"/>
      <c r="U40" s="61"/>
    </row>
    <row r="41" spans="2:21" ht="35.25" customHeight="1">
      <c r="B41" s="59" t="s">
        <v>113</v>
      </c>
      <c r="C41" s="60"/>
      <c r="D41" s="60"/>
      <c r="E41" s="60"/>
      <c r="F41" s="60"/>
      <c r="G41" s="60"/>
      <c r="H41" s="60"/>
      <c r="I41" s="60"/>
      <c r="J41" s="60"/>
      <c r="K41" s="60"/>
      <c r="L41" s="60"/>
      <c r="M41" s="60"/>
      <c r="N41" s="60"/>
      <c r="O41" s="60"/>
      <c r="P41" s="60"/>
      <c r="Q41" s="60"/>
      <c r="R41" s="60"/>
      <c r="S41" s="60"/>
      <c r="T41" s="60"/>
      <c r="U41" s="61"/>
    </row>
    <row r="42" spans="2:21" ht="52.35" customHeight="1">
      <c r="B42" s="59" t="s">
        <v>114</v>
      </c>
      <c r="C42" s="60"/>
      <c r="D42" s="60"/>
      <c r="E42" s="60"/>
      <c r="F42" s="60"/>
      <c r="G42" s="60"/>
      <c r="H42" s="60"/>
      <c r="I42" s="60"/>
      <c r="J42" s="60"/>
      <c r="K42" s="60"/>
      <c r="L42" s="60"/>
      <c r="M42" s="60"/>
      <c r="N42" s="60"/>
      <c r="O42" s="60"/>
      <c r="P42" s="60"/>
      <c r="Q42" s="60"/>
      <c r="R42" s="60"/>
      <c r="S42" s="60"/>
      <c r="T42" s="60"/>
      <c r="U42" s="61"/>
    </row>
    <row r="43" spans="2:21" ht="34.5" customHeight="1">
      <c r="B43" s="59" t="s">
        <v>115</v>
      </c>
      <c r="C43" s="60"/>
      <c r="D43" s="60"/>
      <c r="E43" s="60"/>
      <c r="F43" s="60"/>
      <c r="G43" s="60"/>
      <c r="H43" s="60"/>
      <c r="I43" s="60"/>
      <c r="J43" s="60"/>
      <c r="K43" s="60"/>
      <c r="L43" s="60"/>
      <c r="M43" s="60"/>
      <c r="N43" s="60"/>
      <c r="O43" s="60"/>
      <c r="P43" s="60"/>
      <c r="Q43" s="60"/>
      <c r="R43" s="60"/>
      <c r="S43" s="60"/>
      <c r="T43" s="60"/>
      <c r="U43" s="61"/>
    </row>
    <row r="44" spans="2:21" ht="87.75" customHeight="1">
      <c r="B44" s="59" t="s">
        <v>116</v>
      </c>
      <c r="C44" s="60"/>
      <c r="D44" s="60"/>
      <c r="E44" s="60"/>
      <c r="F44" s="60"/>
      <c r="G44" s="60"/>
      <c r="H44" s="60"/>
      <c r="I44" s="60"/>
      <c r="J44" s="60"/>
      <c r="K44" s="60"/>
      <c r="L44" s="60"/>
      <c r="M44" s="60"/>
      <c r="N44" s="60"/>
      <c r="O44" s="60"/>
      <c r="P44" s="60"/>
      <c r="Q44" s="60"/>
      <c r="R44" s="60"/>
      <c r="S44" s="60"/>
      <c r="T44" s="60"/>
      <c r="U44" s="61"/>
    </row>
    <row r="45" spans="2:21" ht="71.099999999999994" customHeight="1">
      <c r="B45" s="59" t="s">
        <v>117</v>
      </c>
      <c r="C45" s="60"/>
      <c r="D45" s="60"/>
      <c r="E45" s="60"/>
      <c r="F45" s="60"/>
      <c r="G45" s="60"/>
      <c r="H45" s="60"/>
      <c r="I45" s="60"/>
      <c r="J45" s="60"/>
      <c r="K45" s="60"/>
      <c r="L45" s="60"/>
      <c r="M45" s="60"/>
      <c r="N45" s="60"/>
      <c r="O45" s="60"/>
      <c r="P45" s="60"/>
      <c r="Q45" s="60"/>
      <c r="R45" s="60"/>
      <c r="S45" s="60"/>
      <c r="T45" s="60"/>
      <c r="U45" s="61"/>
    </row>
    <row r="46" spans="2:21" ht="49.35" customHeight="1">
      <c r="B46" s="59" t="s">
        <v>118</v>
      </c>
      <c r="C46" s="60"/>
      <c r="D46" s="60"/>
      <c r="E46" s="60"/>
      <c r="F46" s="60"/>
      <c r="G46" s="60"/>
      <c r="H46" s="60"/>
      <c r="I46" s="60"/>
      <c r="J46" s="60"/>
      <c r="K46" s="60"/>
      <c r="L46" s="60"/>
      <c r="M46" s="60"/>
      <c r="N46" s="60"/>
      <c r="O46" s="60"/>
      <c r="P46" s="60"/>
      <c r="Q46" s="60"/>
      <c r="R46" s="60"/>
      <c r="S46" s="60"/>
      <c r="T46" s="60"/>
      <c r="U46" s="61"/>
    </row>
    <row r="47" spans="2:21" ht="76.5" customHeight="1">
      <c r="B47" s="59" t="s">
        <v>119</v>
      </c>
      <c r="C47" s="60"/>
      <c r="D47" s="60"/>
      <c r="E47" s="60"/>
      <c r="F47" s="60"/>
      <c r="G47" s="60"/>
      <c r="H47" s="60"/>
      <c r="I47" s="60"/>
      <c r="J47" s="60"/>
      <c r="K47" s="60"/>
      <c r="L47" s="60"/>
      <c r="M47" s="60"/>
      <c r="N47" s="60"/>
      <c r="O47" s="60"/>
      <c r="P47" s="60"/>
      <c r="Q47" s="60"/>
      <c r="R47" s="60"/>
      <c r="S47" s="60"/>
      <c r="T47" s="60"/>
      <c r="U47" s="61"/>
    </row>
    <row r="48" spans="2:21" ht="72.75" customHeight="1">
      <c r="B48" s="59" t="s">
        <v>120</v>
      </c>
      <c r="C48" s="60"/>
      <c r="D48" s="60"/>
      <c r="E48" s="60"/>
      <c r="F48" s="60"/>
      <c r="G48" s="60"/>
      <c r="H48" s="60"/>
      <c r="I48" s="60"/>
      <c r="J48" s="60"/>
      <c r="K48" s="60"/>
      <c r="L48" s="60"/>
      <c r="M48" s="60"/>
      <c r="N48" s="60"/>
      <c r="O48" s="60"/>
      <c r="P48" s="60"/>
      <c r="Q48" s="60"/>
      <c r="R48" s="60"/>
      <c r="S48" s="60"/>
      <c r="T48" s="60"/>
      <c r="U48" s="61"/>
    </row>
    <row r="49" spans="2:21" ht="86.25" customHeight="1">
      <c r="B49" s="59" t="s">
        <v>121</v>
      </c>
      <c r="C49" s="60"/>
      <c r="D49" s="60"/>
      <c r="E49" s="60"/>
      <c r="F49" s="60"/>
      <c r="G49" s="60"/>
      <c r="H49" s="60"/>
      <c r="I49" s="60"/>
      <c r="J49" s="60"/>
      <c r="K49" s="60"/>
      <c r="L49" s="60"/>
      <c r="M49" s="60"/>
      <c r="N49" s="60"/>
      <c r="O49" s="60"/>
      <c r="P49" s="60"/>
      <c r="Q49" s="60"/>
      <c r="R49" s="60"/>
      <c r="S49" s="60"/>
      <c r="T49" s="60"/>
      <c r="U49" s="61"/>
    </row>
    <row r="50" spans="2:21" ht="56.45" customHeight="1">
      <c r="B50" s="59" t="s">
        <v>122</v>
      </c>
      <c r="C50" s="60"/>
      <c r="D50" s="60"/>
      <c r="E50" s="60"/>
      <c r="F50" s="60"/>
      <c r="G50" s="60"/>
      <c r="H50" s="60"/>
      <c r="I50" s="60"/>
      <c r="J50" s="60"/>
      <c r="K50" s="60"/>
      <c r="L50" s="60"/>
      <c r="M50" s="60"/>
      <c r="N50" s="60"/>
      <c r="O50" s="60"/>
      <c r="P50" s="60"/>
      <c r="Q50" s="60"/>
      <c r="R50" s="60"/>
      <c r="S50" s="60"/>
      <c r="T50" s="60"/>
      <c r="U50" s="61"/>
    </row>
    <row r="51" spans="2:21" ht="62.85" customHeight="1">
      <c r="B51" s="59" t="s">
        <v>123</v>
      </c>
      <c r="C51" s="60"/>
      <c r="D51" s="60"/>
      <c r="E51" s="60"/>
      <c r="F51" s="60"/>
      <c r="G51" s="60"/>
      <c r="H51" s="60"/>
      <c r="I51" s="60"/>
      <c r="J51" s="60"/>
      <c r="K51" s="60"/>
      <c r="L51" s="60"/>
      <c r="M51" s="60"/>
      <c r="N51" s="60"/>
      <c r="O51" s="60"/>
      <c r="P51" s="60"/>
      <c r="Q51" s="60"/>
      <c r="R51" s="60"/>
      <c r="S51" s="60"/>
      <c r="T51" s="60"/>
      <c r="U51" s="61"/>
    </row>
    <row r="52" spans="2:21" ht="63.75" customHeight="1">
      <c r="B52" s="59" t="s">
        <v>124</v>
      </c>
      <c r="C52" s="60"/>
      <c r="D52" s="60"/>
      <c r="E52" s="60"/>
      <c r="F52" s="60"/>
      <c r="G52" s="60"/>
      <c r="H52" s="60"/>
      <c r="I52" s="60"/>
      <c r="J52" s="60"/>
      <c r="K52" s="60"/>
      <c r="L52" s="60"/>
      <c r="M52" s="60"/>
      <c r="N52" s="60"/>
      <c r="O52" s="60"/>
      <c r="P52" s="60"/>
      <c r="Q52" s="60"/>
      <c r="R52" s="60"/>
      <c r="S52" s="60"/>
      <c r="T52" s="60"/>
      <c r="U52" s="61"/>
    </row>
    <row r="53" spans="2:21" ht="56.25" customHeight="1">
      <c r="B53" s="59" t="s">
        <v>125</v>
      </c>
      <c r="C53" s="60"/>
      <c r="D53" s="60"/>
      <c r="E53" s="60"/>
      <c r="F53" s="60"/>
      <c r="G53" s="60"/>
      <c r="H53" s="60"/>
      <c r="I53" s="60"/>
      <c r="J53" s="60"/>
      <c r="K53" s="60"/>
      <c r="L53" s="60"/>
      <c r="M53" s="60"/>
      <c r="N53" s="60"/>
      <c r="O53" s="60"/>
      <c r="P53" s="60"/>
      <c r="Q53" s="60"/>
      <c r="R53" s="60"/>
      <c r="S53" s="60"/>
      <c r="T53" s="60"/>
      <c r="U53" s="61"/>
    </row>
    <row r="54" spans="2:21" ht="73.349999999999994" customHeight="1">
      <c r="B54" s="59" t="s">
        <v>126</v>
      </c>
      <c r="C54" s="60"/>
      <c r="D54" s="60"/>
      <c r="E54" s="60"/>
      <c r="F54" s="60"/>
      <c r="G54" s="60"/>
      <c r="H54" s="60"/>
      <c r="I54" s="60"/>
      <c r="J54" s="60"/>
      <c r="K54" s="60"/>
      <c r="L54" s="60"/>
      <c r="M54" s="60"/>
      <c r="N54" s="60"/>
      <c r="O54" s="60"/>
      <c r="P54" s="60"/>
      <c r="Q54" s="60"/>
      <c r="R54" s="60"/>
      <c r="S54" s="60"/>
      <c r="T54" s="60"/>
      <c r="U54" s="61"/>
    </row>
    <row r="55" spans="2:21" ht="64.349999999999994" customHeight="1" thickBot="1">
      <c r="B55" s="62" t="s">
        <v>127</v>
      </c>
      <c r="C55" s="63"/>
      <c r="D55" s="63"/>
      <c r="E55" s="63"/>
      <c r="F55" s="63"/>
      <c r="G55" s="63"/>
      <c r="H55" s="63"/>
      <c r="I55" s="63"/>
      <c r="J55" s="63"/>
      <c r="K55" s="63"/>
      <c r="L55" s="63"/>
      <c r="M55" s="63"/>
      <c r="N55" s="63"/>
      <c r="O55" s="63"/>
      <c r="P55" s="63"/>
      <c r="Q55" s="63"/>
      <c r="R55" s="63"/>
      <c r="S55" s="63"/>
      <c r="T55" s="63"/>
      <c r="U55" s="64"/>
    </row>
  </sheetData>
  <mergeCells count="10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C22:H22"/>
    <mergeCell ref="I22:K22"/>
    <mergeCell ref="L22:O22"/>
    <mergeCell ref="C23:H23"/>
    <mergeCell ref="I23:K23"/>
    <mergeCell ref="L23:O23"/>
    <mergeCell ref="C24:H24"/>
    <mergeCell ref="I24:K24"/>
    <mergeCell ref="L24:O24"/>
    <mergeCell ref="C25:H25"/>
    <mergeCell ref="I25:K25"/>
    <mergeCell ref="L25:O25"/>
    <mergeCell ref="C26:H26"/>
    <mergeCell ref="I26:K26"/>
    <mergeCell ref="L26:O26"/>
    <mergeCell ref="C27:H27"/>
    <mergeCell ref="I27:K27"/>
    <mergeCell ref="L27:O27"/>
    <mergeCell ref="C28:H28"/>
    <mergeCell ref="I28:K28"/>
    <mergeCell ref="L28:O28"/>
    <mergeCell ref="C29:H29"/>
    <mergeCell ref="I29:K29"/>
    <mergeCell ref="L29:O29"/>
    <mergeCell ref="B45:U45"/>
    <mergeCell ref="B33:D33"/>
    <mergeCell ref="B34:D34"/>
    <mergeCell ref="B36:U36"/>
    <mergeCell ref="B37:U37"/>
    <mergeCell ref="B38:U38"/>
    <mergeCell ref="B39:U39"/>
    <mergeCell ref="B40:U40"/>
    <mergeCell ref="B41:U41"/>
    <mergeCell ref="B42:U42"/>
    <mergeCell ref="B43:U43"/>
    <mergeCell ref="B44:U44"/>
    <mergeCell ref="B52:U52"/>
    <mergeCell ref="B53:U53"/>
    <mergeCell ref="B54:U54"/>
    <mergeCell ref="B55:U55"/>
    <mergeCell ref="B46:U46"/>
    <mergeCell ref="B47:U47"/>
    <mergeCell ref="B48:U48"/>
    <mergeCell ref="B49:U49"/>
    <mergeCell ref="B50:U50"/>
    <mergeCell ref="B51:U51"/>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5"/>
  <sheetViews>
    <sheetView view="pageBreakPreview" zoomScale="80" zoomScaleNormal="80" zoomScaleSheetLayoutView="80" workbookViewId="0">
      <selection activeCell="C8" sqref="C8:H10"/>
    </sheetView>
  </sheetViews>
  <sheetFormatPr baseColWidth="10" defaultColWidth="10" defaultRowHeight="12.75"/>
  <cols>
    <col min="1" max="1" width="3.42578125" style="1" customWidth="1"/>
    <col min="2" max="2" width="13.7109375" style="1" customWidth="1"/>
    <col min="3" max="3" width="5.85546875" style="1" customWidth="1"/>
    <col min="4" max="4" width="8.5703125" style="1" customWidth="1"/>
    <col min="5" max="5" width="9.7109375" style="1" customWidth="1"/>
    <col min="6" max="6" width="4.42578125" style="1" customWidth="1"/>
    <col min="7" max="7" width="0.28515625" style="1" customWidth="1"/>
    <col min="8" max="8" width="2.28515625" style="1" customWidth="1"/>
    <col min="9" max="9" width="6.5703125" style="1" customWidth="1"/>
    <col min="10" max="10" width="7.85546875" style="1" customWidth="1"/>
    <col min="11" max="11" width="9.42578125" style="1" customWidth="1"/>
    <col min="12" max="12" width="7.7109375" style="1" customWidth="1"/>
    <col min="13" max="13" width="6.140625" style="1" customWidth="1"/>
    <col min="14" max="14" width="8.28515625" style="1" customWidth="1"/>
    <col min="15" max="15" width="11.140625" style="1" customWidth="1"/>
    <col min="16" max="16" width="11.5703125" style="1" customWidth="1"/>
    <col min="17" max="17" width="12.140625" style="1" customWidth="1"/>
    <col min="18" max="18" width="9" style="1" customWidth="1"/>
    <col min="19" max="19" width="13" style="1" customWidth="1"/>
    <col min="20" max="20" width="10.7109375" style="1" customWidth="1"/>
    <col min="21" max="21" width="10.42578125" style="1" customWidth="1"/>
    <col min="22" max="22" width="11.42578125" style="1" customWidth="1"/>
    <col min="23" max="23" width="10.7109375" style="1" customWidth="1"/>
    <col min="24" max="24" width="8.42578125" style="1" customWidth="1"/>
    <col min="25" max="25" width="8.7109375" style="1" customWidth="1"/>
    <col min="26" max="26" width="9.5703125" style="1" customWidth="1"/>
    <col min="27" max="29" width="10" style="1"/>
    <col min="30" max="30" width="15.42578125" style="1" customWidth="1"/>
    <col min="31" max="16384" width="10" style="1"/>
  </cols>
  <sheetData>
    <row r="1" spans="1:34" s="2" customFormat="1" ht="48" customHeight="1">
      <c r="A1" s="3"/>
      <c r="B1" s="98" t="s">
        <v>583</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128</v>
      </c>
      <c r="D4" s="99" t="s">
        <v>129</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v>
      </c>
      <c r="D6" s="80"/>
      <c r="E6" s="80"/>
      <c r="F6" s="80"/>
      <c r="G6" s="80"/>
      <c r="H6" s="18"/>
      <c r="I6" s="18"/>
      <c r="J6" s="18" t="s">
        <v>18</v>
      </c>
      <c r="K6" s="80" t="s">
        <v>19</v>
      </c>
      <c r="L6" s="80"/>
      <c r="M6" s="80"/>
      <c r="N6" s="19"/>
      <c r="O6" s="20" t="s">
        <v>20</v>
      </c>
      <c r="P6" s="80" t="s">
        <v>21</v>
      </c>
      <c r="Q6" s="80"/>
      <c r="R6" s="21"/>
      <c r="S6" s="20" t="s">
        <v>22</v>
      </c>
      <c r="T6" s="80" t="s">
        <v>130</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c r="A11" s="25"/>
      <c r="B11" s="26" t="s">
        <v>38</v>
      </c>
      <c r="C11" s="73" t="s">
        <v>131</v>
      </c>
      <c r="D11" s="73"/>
      <c r="E11" s="73"/>
      <c r="F11" s="73"/>
      <c r="G11" s="73"/>
      <c r="H11" s="73"/>
      <c r="I11" s="73" t="s">
        <v>56</v>
      </c>
      <c r="J11" s="73"/>
      <c r="K11" s="73"/>
      <c r="L11" s="73" t="s">
        <v>57</v>
      </c>
      <c r="M11" s="73"/>
      <c r="N11" s="73"/>
      <c r="O11" s="73"/>
      <c r="P11" s="27" t="s">
        <v>132</v>
      </c>
      <c r="Q11" s="27" t="s">
        <v>43</v>
      </c>
      <c r="R11" s="54">
        <v>78.19</v>
      </c>
      <c r="S11" s="54">
        <v>78.19</v>
      </c>
      <c r="T11" s="54">
        <v>78.39</v>
      </c>
      <c r="U11" s="28">
        <f>IF(ISERR(T11/S11*100),"N/A",T11/S11*100)</f>
        <v>100.25578718506203</v>
      </c>
    </row>
    <row r="12" spans="1:34" ht="75" customHeight="1" thickBot="1">
      <c r="A12" s="25"/>
      <c r="B12" s="29" t="s">
        <v>44</v>
      </c>
      <c r="C12" s="72" t="s">
        <v>44</v>
      </c>
      <c r="D12" s="72"/>
      <c r="E12" s="72"/>
      <c r="F12" s="72"/>
      <c r="G12" s="72"/>
      <c r="H12" s="72"/>
      <c r="I12" s="72" t="s">
        <v>133</v>
      </c>
      <c r="J12" s="72"/>
      <c r="K12" s="72"/>
      <c r="L12" s="72" t="s">
        <v>134</v>
      </c>
      <c r="M12" s="72"/>
      <c r="N12" s="72"/>
      <c r="O12" s="72"/>
      <c r="P12" s="30" t="s">
        <v>135</v>
      </c>
      <c r="Q12" s="30" t="s">
        <v>43</v>
      </c>
      <c r="R12" s="31">
        <v>0.9</v>
      </c>
      <c r="S12" s="31" t="s">
        <v>49</v>
      </c>
      <c r="T12" s="31">
        <v>0.52</v>
      </c>
      <c r="U12" s="32" t="str">
        <f>IF(ISERR((S12-T12)*100/S12+100),"N/A",(S12-T12)*100/S12+100)</f>
        <v>N/A</v>
      </c>
    </row>
    <row r="13" spans="1:34" ht="75" customHeight="1" thickTop="1" thickBot="1">
      <c r="A13" s="25"/>
      <c r="B13" s="26" t="s">
        <v>62</v>
      </c>
      <c r="C13" s="73" t="s">
        <v>136</v>
      </c>
      <c r="D13" s="73"/>
      <c r="E13" s="73"/>
      <c r="F13" s="73"/>
      <c r="G13" s="73"/>
      <c r="H13" s="73"/>
      <c r="I13" s="73" t="s">
        <v>137</v>
      </c>
      <c r="J13" s="73"/>
      <c r="K13" s="73"/>
      <c r="L13" s="73" t="s">
        <v>138</v>
      </c>
      <c r="M13" s="73"/>
      <c r="N13" s="73"/>
      <c r="O13" s="73"/>
      <c r="P13" s="27" t="s">
        <v>47</v>
      </c>
      <c r="Q13" s="27" t="s">
        <v>139</v>
      </c>
      <c r="R13" s="27">
        <v>7.55</v>
      </c>
      <c r="S13" s="27">
        <v>7.55</v>
      </c>
      <c r="T13" s="27">
        <v>7.52</v>
      </c>
      <c r="U13" s="28">
        <f t="shared" ref="U13:U24" si="0">IF(ISERR(T13/S13*100),"N/A",T13/S13*100)</f>
        <v>99.602649006622514</v>
      </c>
    </row>
    <row r="14" spans="1:34" ht="75" customHeight="1" thickTop="1">
      <c r="A14" s="25"/>
      <c r="B14" s="26" t="s">
        <v>71</v>
      </c>
      <c r="C14" s="73" t="s">
        <v>140</v>
      </c>
      <c r="D14" s="73"/>
      <c r="E14" s="73"/>
      <c r="F14" s="73"/>
      <c r="G14" s="73"/>
      <c r="H14" s="73"/>
      <c r="I14" s="73" t="s">
        <v>141</v>
      </c>
      <c r="J14" s="73"/>
      <c r="K14" s="73"/>
      <c r="L14" s="73" t="s">
        <v>142</v>
      </c>
      <c r="M14" s="73"/>
      <c r="N14" s="73"/>
      <c r="O14" s="73"/>
      <c r="P14" s="27" t="s">
        <v>47</v>
      </c>
      <c r="Q14" s="27" t="s">
        <v>143</v>
      </c>
      <c r="R14" s="27">
        <v>97</v>
      </c>
      <c r="S14" s="27">
        <v>97</v>
      </c>
      <c r="T14" s="27">
        <v>87.41</v>
      </c>
      <c r="U14" s="28">
        <f t="shared" si="0"/>
        <v>90.113402061855666</v>
      </c>
    </row>
    <row r="15" spans="1:34" ht="75" customHeight="1">
      <c r="A15" s="25"/>
      <c r="B15" s="29" t="s">
        <v>44</v>
      </c>
      <c r="C15" s="72" t="s">
        <v>144</v>
      </c>
      <c r="D15" s="72"/>
      <c r="E15" s="72"/>
      <c r="F15" s="72"/>
      <c r="G15" s="72"/>
      <c r="H15" s="72"/>
      <c r="I15" s="72" t="s">
        <v>145</v>
      </c>
      <c r="J15" s="72"/>
      <c r="K15" s="72"/>
      <c r="L15" s="72" t="s">
        <v>146</v>
      </c>
      <c r="M15" s="72"/>
      <c r="N15" s="72"/>
      <c r="O15" s="72"/>
      <c r="P15" s="30" t="s">
        <v>47</v>
      </c>
      <c r="Q15" s="30" t="s">
        <v>143</v>
      </c>
      <c r="R15" s="30">
        <v>97</v>
      </c>
      <c r="S15" s="30">
        <v>97</v>
      </c>
      <c r="T15" s="30">
        <v>85.99</v>
      </c>
      <c r="U15" s="32">
        <f t="shared" si="0"/>
        <v>88.649484536082468</v>
      </c>
    </row>
    <row r="16" spans="1:34" ht="75" customHeight="1">
      <c r="A16" s="25"/>
      <c r="B16" s="29" t="s">
        <v>44</v>
      </c>
      <c r="C16" s="72" t="s">
        <v>147</v>
      </c>
      <c r="D16" s="72"/>
      <c r="E16" s="72"/>
      <c r="F16" s="72"/>
      <c r="G16" s="72"/>
      <c r="H16" s="72"/>
      <c r="I16" s="72" t="s">
        <v>148</v>
      </c>
      <c r="J16" s="72"/>
      <c r="K16" s="72"/>
      <c r="L16" s="72" t="s">
        <v>149</v>
      </c>
      <c r="M16" s="72"/>
      <c r="N16" s="72"/>
      <c r="O16" s="72"/>
      <c r="P16" s="30" t="s">
        <v>47</v>
      </c>
      <c r="Q16" s="30" t="s">
        <v>139</v>
      </c>
      <c r="R16" s="30">
        <v>20</v>
      </c>
      <c r="S16" s="30">
        <v>20</v>
      </c>
      <c r="T16" s="30">
        <v>21.88</v>
      </c>
      <c r="U16" s="32">
        <f t="shared" si="0"/>
        <v>109.39999999999999</v>
      </c>
    </row>
    <row r="17" spans="1:22" ht="75" customHeight="1">
      <c r="A17" s="25"/>
      <c r="B17" s="29" t="s">
        <v>44</v>
      </c>
      <c r="C17" s="72" t="s">
        <v>150</v>
      </c>
      <c r="D17" s="72"/>
      <c r="E17" s="72"/>
      <c r="F17" s="72"/>
      <c r="G17" s="72"/>
      <c r="H17" s="72"/>
      <c r="I17" s="72" t="s">
        <v>151</v>
      </c>
      <c r="J17" s="72"/>
      <c r="K17" s="72"/>
      <c r="L17" s="72" t="s">
        <v>152</v>
      </c>
      <c r="M17" s="72"/>
      <c r="N17" s="72"/>
      <c r="O17" s="72"/>
      <c r="P17" s="30" t="s">
        <v>47</v>
      </c>
      <c r="Q17" s="30" t="s">
        <v>153</v>
      </c>
      <c r="R17" s="30">
        <v>90</v>
      </c>
      <c r="S17" s="30">
        <v>90</v>
      </c>
      <c r="T17" s="30">
        <v>92</v>
      </c>
      <c r="U17" s="32">
        <f t="shared" si="0"/>
        <v>102.22222222222221</v>
      </c>
    </row>
    <row r="18" spans="1:22" ht="75" customHeight="1" thickBot="1">
      <c r="A18" s="25"/>
      <c r="B18" s="29" t="s">
        <v>44</v>
      </c>
      <c r="C18" s="72" t="s">
        <v>154</v>
      </c>
      <c r="D18" s="72"/>
      <c r="E18" s="72"/>
      <c r="F18" s="72"/>
      <c r="G18" s="72"/>
      <c r="H18" s="72"/>
      <c r="I18" s="72" t="s">
        <v>155</v>
      </c>
      <c r="J18" s="72"/>
      <c r="K18" s="72"/>
      <c r="L18" s="72" t="s">
        <v>156</v>
      </c>
      <c r="M18" s="72"/>
      <c r="N18" s="72"/>
      <c r="O18" s="72"/>
      <c r="P18" s="30" t="s">
        <v>47</v>
      </c>
      <c r="Q18" s="30" t="s">
        <v>139</v>
      </c>
      <c r="R18" s="30">
        <v>95</v>
      </c>
      <c r="S18" s="30">
        <v>95</v>
      </c>
      <c r="T18" s="30">
        <v>98.25</v>
      </c>
      <c r="U18" s="32">
        <f t="shared" si="0"/>
        <v>103.42105263157895</v>
      </c>
    </row>
    <row r="19" spans="1:22" ht="75" customHeight="1" thickTop="1">
      <c r="A19" s="25"/>
      <c r="B19" s="26" t="s">
        <v>87</v>
      </c>
      <c r="C19" s="73" t="s">
        <v>157</v>
      </c>
      <c r="D19" s="73"/>
      <c r="E19" s="73"/>
      <c r="F19" s="73"/>
      <c r="G19" s="73"/>
      <c r="H19" s="73"/>
      <c r="I19" s="73" t="s">
        <v>158</v>
      </c>
      <c r="J19" s="73"/>
      <c r="K19" s="73"/>
      <c r="L19" s="73" t="s">
        <v>159</v>
      </c>
      <c r="M19" s="73"/>
      <c r="N19" s="73"/>
      <c r="O19" s="73"/>
      <c r="P19" s="27" t="s">
        <v>47</v>
      </c>
      <c r="Q19" s="27" t="s">
        <v>91</v>
      </c>
      <c r="R19" s="27">
        <v>98</v>
      </c>
      <c r="S19" s="27">
        <v>98</v>
      </c>
      <c r="T19" s="27">
        <v>98.73</v>
      </c>
      <c r="U19" s="28">
        <f t="shared" si="0"/>
        <v>100.74489795918369</v>
      </c>
    </row>
    <row r="20" spans="1:22" ht="75" customHeight="1">
      <c r="A20" s="25"/>
      <c r="B20" s="29" t="s">
        <v>44</v>
      </c>
      <c r="C20" s="72" t="s">
        <v>160</v>
      </c>
      <c r="D20" s="72"/>
      <c r="E20" s="72"/>
      <c r="F20" s="72"/>
      <c r="G20" s="72"/>
      <c r="H20" s="72"/>
      <c r="I20" s="72" t="s">
        <v>161</v>
      </c>
      <c r="J20" s="72"/>
      <c r="K20" s="72"/>
      <c r="L20" s="72" t="s">
        <v>162</v>
      </c>
      <c r="M20" s="72"/>
      <c r="N20" s="72"/>
      <c r="O20" s="72"/>
      <c r="P20" s="30" t="s">
        <v>47</v>
      </c>
      <c r="Q20" s="30" t="s">
        <v>91</v>
      </c>
      <c r="R20" s="30">
        <v>98</v>
      </c>
      <c r="S20" s="30">
        <v>98</v>
      </c>
      <c r="T20" s="30">
        <v>98.95</v>
      </c>
      <c r="U20" s="32">
        <f t="shared" si="0"/>
        <v>100.96938775510205</v>
      </c>
    </row>
    <row r="21" spans="1:22" ht="75" customHeight="1">
      <c r="A21" s="25"/>
      <c r="B21" s="29" t="s">
        <v>44</v>
      </c>
      <c r="C21" s="72" t="s">
        <v>163</v>
      </c>
      <c r="D21" s="72"/>
      <c r="E21" s="72"/>
      <c r="F21" s="72"/>
      <c r="G21" s="72"/>
      <c r="H21" s="72"/>
      <c r="I21" s="72" t="s">
        <v>164</v>
      </c>
      <c r="J21" s="72"/>
      <c r="K21" s="72"/>
      <c r="L21" s="72" t="s">
        <v>165</v>
      </c>
      <c r="M21" s="72"/>
      <c r="N21" s="72"/>
      <c r="O21" s="72"/>
      <c r="P21" s="30" t="s">
        <v>47</v>
      </c>
      <c r="Q21" s="30" t="s">
        <v>91</v>
      </c>
      <c r="R21" s="30">
        <v>90</v>
      </c>
      <c r="S21" s="30">
        <v>90</v>
      </c>
      <c r="T21" s="30">
        <v>97.51</v>
      </c>
      <c r="U21" s="32">
        <f t="shared" si="0"/>
        <v>108.34444444444445</v>
      </c>
    </row>
    <row r="22" spans="1:22" ht="75" customHeight="1">
      <c r="A22" s="25"/>
      <c r="B22" s="29" t="s">
        <v>44</v>
      </c>
      <c r="C22" s="72" t="s">
        <v>166</v>
      </c>
      <c r="D22" s="72"/>
      <c r="E22" s="72"/>
      <c r="F22" s="72"/>
      <c r="G22" s="72"/>
      <c r="H22" s="72"/>
      <c r="I22" s="72" t="s">
        <v>167</v>
      </c>
      <c r="J22" s="72"/>
      <c r="K22" s="72"/>
      <c r="L22" s="72" t="s">
        <v>168</v>
      </c>
      <c r="M22" s="72"/>
      <c r="N22" s="72"/>
      <c r="O22" s="72"/>
      <c r="P22" s="30" t="s">
        <v>47</v>
      </c>
      <c r="Q22" s="30" t="s">
        <v>91</v>
      </c>
      <c r="R22" s="30">
        <v>90</v>
      </c>
      <c r="S22" s="30">
        <v>90</v>
      </c>
      <c r="T22" s="30">
        <v>98.97</v>
      </c>
      <c r="U22" s="32">
        <f t="shared" si="0"/>
        <v>109.96666666666665</v>
      </c>
    </row>
    <row r="23" spans="1:22" ht="75" customHeight="1">
      <c r="A23" s="25"/>
      <c r="B23" s="29" t="s">
        <v>44</v>
      </c>
      <c r="C23" s="72" t="s">
        <v>169</v>
      </c>
      <c r="D23" s="72"/>
      <c r="E23" s="72"/>
      <c r="F23" s="72"/>
      <c r="G23" s="72"/>
      <c r="H23" s="72"/>
      <c r="I23" s="72" t="s">
        <v>170</v>
      </c>
      <c r="J23" s="72"/>
      <c r="K23" s="72"/>
      <c r="L23" s="72" t="s">
        <v>171</v>
      </c>
      <c r="M23" s="72"/>
      <c r="N23" s="72"/>
      <c r="O23" s="72"/>
      <c r="P23" s="30" t="s">
        <v>47</v>
      </c>
      <c r="Q23" s="30" t="s">
        <v>91</v>
      </c>
      <c r="R23" s="30">
        <v>90</v>
      </c>
      <c r="S23" s="30">
        <v>90</v>
      </c>
      <c r="T23" s="30">
        <v>93.6</v>
      </c>
      <c r="U23" s="32">
        <f t="shared" si="0"/>
        <v>104</v>
      </c>
    </row>
    <row r="24" spans="1:22" ht="75" customHeight="1" thickBot="1">
      <c r="A24" s="25"/>
      <c r="B24" s="29" t="s">
        <v>44</v>
      </c>
      <c r="C24" s="72" t="s">
        <v>172</v>
      </c>
      <c r="D24" s="72"/>
      <c r="E24" s="72"/>
      <c r="F24" s="72"/>
      <c r="G24" s="72"/>
      <c r="H24" s="72"/>
      <c r="I24" s="72" t="s">
        <v>173</v>
      </c>
      <c r="J24" s="72"/>
      <c r="K24" s="72"/>
      <c r="L24" s="72" t="s">
        <v>174</v>
      </c>
      <c r="M24" s="72"/>
      <c r="N24" s="72"/>
      <c r="O24" s="72"/>
      <c r="P24" s="30" t="s">
        <v>47</v>
      </c>
      <c r="Q24" s="30" t="s">
        <v>91</v>
      </c>
      <c r="R24" s="30">
        <v>83</v>
      </c>
      <c r="S24" s="30">
        <v>83</v>
      </c>
      <c r="T24" s="30">
        <v>70.78</v>
      </c>
      <c r="U24" s="32">
        <f t="shared" si="0"/>
        <v>85.277108433734938</v>
      </c>
    </row>
    <row r="25" spans="1:22" ht="22.5" customHeight="1" thickTop="1" thickBot="1">
      <c r="B25" s="8" t="s">
        <v>98</v>
      </c>
      <c r="C25" s="9"/>
      <c r="D25" s="9"/>
      <c r="E25" s="9"/>
      <c r="F25" s="9"/>
      <c r="G25" s="9"/>
      <c r="H25" s="10"/>
      <c r="I25" s="10"/>
      <c r="J25" s="10"/>
      <c r="K25" s="10"/>
      <c r="L25" s="10"/>
      <c r="M25" s="10"/>
      <c r="N25" s="10"/>
      <c r="O25" s="10"/>
      <c r="P25" s="10"/>
      <c r="Q25" s="10"/>
      <c r="R25" s="10"/>
      <c r="S25" s="10"/>
      <c r="T25" s="10"/>
      <c r="U25" s="11"/>
      <c r="V25" s="33"/>
    </row>
    <row r="26" spans="1:22" ht="26.25" customHeight="1" thickTop="1">
      <c r="B26" s="34"/>
      <c r="C26" s="35"/>
      <c r="D26" s="35"/>
      <c r="E26" s="35"/>
      <c r="F26" s="35"/>
      <c r="G26" s="35"/>
      <c r="H26" s="36"/>
      <c r="I26" s="36"/>
      <c r="J26" s="36"/>
      <c r="K26" s="36"/>
      <c r="L26" s="36"/>
      <c r="M26" s="36"/>
      <c r="N26" s="36"/>
      <c r="O26" s="36"/>
      <c r="P26" s="37"/>
      <c r="Q26" s="38"/>
      <c r="R26" s="39" t="s">
        <v>99</v>
      </c>
      <c r="S26" s="22" t="s">
        <v>100</v>
      </c>
      <c r="T26" s="39" t="s">
        <v>101</v>
      </c>
      <c r="U26" s="22" t="s">
        <v>102</v>
      </c>
    </row>
    <row r="27" spans="1:22" ht="26.25" customHeight="1" thickBot="1">
      <c r="B27" s="40"/>
      <c r="C27" s="41"/>
      <c r="D27" s="41"/>
      <c r="E27" s="41"/>
      <c r="F27" s="41"/>
      <c r="G27" s="41"/>
      <c r="H27" s="42"/>
      <c r="I27" s="42"/>
      <c r="J27" s="42"/>
      <c r="K27" s="42"/>
      <c r="L27" s="42"/>
      <c r="M27" s="42"/>
      <c r="N27" s="42"/>
      <c r="O27" s="42"/>
      <c r="P27" s="43"/>
      <c r="Q27" s="44"/>
      <c r="R27" s="45" t="s">
        <v>103</v>
      </c>
      <c r="S27" s="44" t="s">
        <v>103</v>
      </c>
      <c r="T27" s="44" t="s">
        <v>103</v>
      </c>
      <c r="U27" s="44" t="s">
        <v>104</v>
      </c>
    </row>
    <row r="28" spans="1:22" ht="13.5" customHeight="1" thickBot="1">
      <c r="B28" s="65" t="s">
        <v>105</v>
      </c>
      <c r="C28" s="66"/>
      <c r="D28" s="66"/>
      <c r="E28" s="46"/>
      <c r="F28" s="46"/>
      <c r="G28" s="46"/>
      <c r="H28" s="47"/>
      <c r="I28" s="47"/>
      <c r="J28" s="47"/>
      <c r="K28" s="47"/>
      <c r="L28" s="47"/>
      <c r="M28" s="47"/>
      <c r="N28" s="47"/>
      <c r="O28" s="47"/>
      <c r="P28" s="48"/>
      <c r="Q28" s="48"/>
      <c r="R28" s="49">
        <f>1176.929362</f>
        <v>1176.9293620000001</v>
      </c>
      <c r="S28" s="49">
        <f>809.135568</f>
        <v>809.13556800000003</v>
      </c>
      <c r="T28" s="49">
        <f>780.51518546</f>
        <v>780.51518546</v>
      </c>
      <c r="U28" s="50">
        <f>+IF(ISERR(T28/S28*100),"N/A",T28/S28*100)</f>
        <v>96.462844587249691</v>
      </c>
    </row>
    <row r="29" spans="1:22" ht="13.5" customHeight="1" thickBot="1">
      <c r="B29" s="67" t="s">
        <v>106</v>
      </c>
      <c r="C29" s="68"/>
      <c r="D29" s="68"/>
      <c r="E29" s="51"/>
      <c r="F29" s="51"/>
      <c r="G29" s="51"/>
      <c r="H29" s="52"/>
      <c r="I29" s="52"/>
      <c r="J29" s="52"/>
      <c r="K29" s="52"/>
      <c r="L29" s="52"/>
      <c r="M29" s="52"/>
      <c r="N29" s="52"/>
      <c r="O29" s="52"/>
      <c r="P29" s="53"/>
      <c r="Q29" s="53"/>
      <c r="R29" s="49">
        <f>1129.15724</f>
        <v>1129.15724</v>
      </c>
      <c r="S29" s="49">
        <f>799.711852</f>
        <v>799.71185200000002</v>
      </c>
      <c r="T29" s="49">
        <f>780.51518546</f>
        <v>780.51518546</v>
      </c>
      <c r="U29" s="50">
        <f>+IF(ISERR(T29/S29*100),"N/A",T29/S29*100)</f>
        <v>97.599552077164901</v>
      </c>
    </row>
    <row r="30" spans="1:22" ht="14.85" customHeight="1" thickTop="1" thickBot="1">
      <c r="B30" s="8" t="s">
        <v>107</v>
      </c>
      <c r="C30" s="9"/>
      <c r="D30" s="9"/>
      <c r="E30" s="9"/>
      <c r="F30" s="9"/>
      <c r="G30" s="9"/>
      <c r="H30" s="10"/>
      <c r="I30" s="10"/>
      <c r="J30" s="10"/>
      <c r="K30" s="10"/>
      <c r="L30" s="10"/>
      <c r="M30" s="10"/>
      <c r="N30" s="10"/>
      <c r="O30" s="10"/>
      <c r="P30" s="10"/>
      <c r="Q30" s="10"/>
      <c r="R30" s="10"/>
      <c r="S30" s="10"/>
      <c r="T30" s="10"/>
      <c r="U30" s="11"/>
    </row>
    <row r="31" spans="1:22" ht="44.25" customHeight="1" thickTop="1">
      <c r="B31" s="69" t="s">
        <v>108</v>
      </c>
      <c r="C31" s="70"/>
      <c r="D31" s="70"/>
      <c r="E31" s="70"/>
      <c r="F31" s="70"/>
      <c r="G31" s="70"/>
      <c r="H31" s="70"/>
      <c r="I31" s="70"/>
      <c r="J31" s="70"/>
      <c r="K31" s="70"/>
      <c r="L31" s="70"/>
      <c r="M31" s="70"/>
      <c r="N31" s="70"/>
      <c r="O31" s="70"/>
      <c r="P31" s="70"/>
      <c r="Q31" s="70"/>
      <c r="R31" s="70"/>
      <c r="S31" s="70"/>
      <c r="T31" s="70"/>
      <c r="U31" s="71"/>
    </row>
    <row r="32" spans="1:22" ht="52.35" customHeight="1">
      <c r="B32" s="59" t="s">
        <v>114</v>
      </c>
      <c r="C32" s="60"/>
      <c r="D32" s="60"/>
      <c r="E32" s="60"/>
      <c r="F32" s="60"/>
      <c r="G32" s="60"/>
      <c r="H32" s="60"/>
      <c r="I32" s="60"/>
      <c r="J32" s="60"/>
      <c r="K32" s="60"/>
      <c r="L32" s="60"/>
      <c r="M32" s="60"/>
      <c r="N32" s="60"/>
      <c r="O32" s="60"/>
      <c r="P32" s="60"/>
      <c r="Q32" s="60"/>
      <c r="R32" s="60"/>
      <c r="S32" s="60"/>
      <c r="T32" s="60"/>
      <c r="U32" s="61"/>
    </row>
    <row r="33" spans="2:21" ht="34.5" customHeight="1">
      <c r="B33" s="59" t="s">
        <v>175</v>
      </c>
      <c r="C33" s="60"/>
      <c r="D33" s="60"/>
      <c r="E33" s="60"/>
      <c r="F33" s="60"/>
      <c r="G33" s="60"/>
      <c r="H33" s="60"/>
      <c r="I33" s="60"/>
      <c r="J33" s="60"/>
      <c r="K33" s="60"/>
      <c r="L33" s="60"/>
      <c r="M33" s="60"/>
      <c r="N33" s="60"/>
      <c r="O33" s="60"/>
      <c r="P33" s="60"/>
      <c r="Q33" s="60"/>
      <c r="R33" s="60"/>
      <c r="S33" s="60"/>
      <c r="T33" s="60"/>
      <c r="U33" s="61"/>
    </row>
    <row r="34" spans="2:21" ht="53.45" customHeight="1">
      <c r="B34" s="59" t="s">
        <v>176</v>
      </c>
      <c r="C34" s="60"/>
      <c r="D34" s="60"/>
      <c r="E34" s="60"/>
      <c r="F34" s="60"/>
      <c r="G34" s="60"/>
      <c r="H34" s="60"/>
      <c r="I34" s="60"/>
      <c r="J34" s="60"/>
      <c r="K34" s="60"/>
      <c r="L34" s="60"/>
      <c r="M34" s="60"/>
      <c r="N34" s="60"/>
      <c r="O34" s="60"/>
      <c r="P34" s="60"/>
      <c r="Q34" s="60"/>
      <c r="R34" s="60"/>
      <c r="S34" s="60"/>
      <c r="T34" s="60"/>
      <c r="U34" s="61"/>
    </row>
    <row r="35" spans="2:21" ht="58.5" customHeight="1">
      <c r="B35" s="59" t="s">
        <v>177</v>
      </c>
      <c r="C35" s="60"/>
      <c r="D35" s="60"/>
      <c r="E35" s="60"/>
      <c r="F35" s="60"/>
      <c r="G35" s="60"/>
      <c r="H35" s="60"/>
      <c r="I35" s="60"/>
      <c r="J35" s="60"/>
      <c r="K35" s="60"/>
      <c r="L35" s="60"/>
      <c r="M35" s="60"/>
      <c r="N35" s="60"/>
      <c r="O35" s="60"/>
      <c r="P35" s="60"/>
      <c r="Q35" s="60"/>
      <c r="R35" s="60"/>
      <c r="S35" s="60"/>
      <c r="T35" s="60"/>
      <c r="U35" s="61"/>
    </row>
    <row r="36" spans="2:21" ht="56.45" customHeight="1">
      <c r="B36" s="59" t="s">
        <v>178</v>
      </c>
      <c r="C36" s="60"/>
      <c r="D36" s="60"/>
      <c r="E36" s="60"/>
      <c r="F36" s="60"/>
      <c r="G36" s="60"/>
      <c r="H36" s="60"/>
      <c r="I36" s="60"/>
      <c r="J36" s="60"/>
      <c r="K36" s="60"/>
      <c r="L36" s="60"/>
      <c r="M36" s="60"/>
      <c r="N36" s="60"/>
      <c r="O36" s="60"/>
      <c r="P36" s="60"/>
      <c r="Q36" s="60"/>
      <c r="R36" s="60"/>
      <c r="S36" s="60"/>
      <c r="T36" s="60"/>
      <c r="U36" s="61"/>
    </row>
    <row r="37" spans="2:21" ht="45.95" customHeight="1">
      <c r="B37" s="59" t="s">
        <v>179</v>
      </c>
      <c r="C37" s="60"/>
      <c r="D37" s="60"/>
      <c r="E37" s="60"/>
      <c r="F37" s="60"/>
      <c r="G37" s="60"/>
      <c r="H37" s="60"/>
      <c r="I37" s="60"/>
      <c r="J37" s="60"/>
      <c r="K37" s="60"/>
      <c r="L37" s="60"/>
      <c r="M37" s="60"/>
      <c r="N37" s="60"/>
      <c r="O37" s="60"/>
      <c r="P37" s="60"/>
      <c r="Q37" s="60"/>
      <c r="R37" s="60"/>
      <c r="S37" s="60"/>
      <c r="T37" s="60"/>
      <c r="U37" s="61"/>
    </row>
    <row r="38" spans="2:21" ht="32.25" customHeight="1">
      <c r="B38" s="59" t="s">
        <v>180</v>
      </c>
      <c r="C38" s="60"/>
      <c r="D38" s="60"/>
      <c r="E38" s="60"/>
      <c r="F38" s="60"/>
      <c r="G38" s="60"/>
      <c r="H38" s="60"/>
      <c r="I38" s="60"/>
      <c r="J38" s="60"/>
      <c r="K38" s="60"/>
      <c r="L38" s="60"/>
      <c r="M38" s="60"/>
      <c r="N38" s="60"/>
      <c r="O38" s="60"/>
      <c r="P38" s="60"/>
      <c r="Q38" s="60"/>
      <c r="R38" s="60"/>
      <c r="S38" s="60"/>
      <c r="T38" s="60"/>
      <c r="U38" s="61"/>
    </row>
    <row r="39" spans="2:21" ht="44.25" customHeight="1">
      <c r="B39" s="59" t="s">
        <v>181</v>
      </c>
      <c r="C39" s="60"/>
      <c r="D39" s="60"/>
      <c r="E39" s="60"/>
      <c r="F39" s="60"/>
      <c r="G39" s="60"/>
      <c r="H39" s="60"/>
      <c r="I39" s="60"/>
      <c r="J39" s="60"/>
      <c r="K39" s="60"/>
      <c r="L39" s="60"/>
      <c r="M39" s="60"/>
      <c r="N39" s="60"/>
      <c r="O39" s="60"/>
      <c r="P39" s="60"/>
      <c r="Q39" s="60"/>
      <c r="R39" s="60"/>
      <c r="S39" s="60"/>
      <c r="T39" s="60"/>
      <c r="U39" s="61"/>
    </row>
    <row r="40" spans="2:21" ht="60.95" customHeight="1">
      <c r="B40" s="59" t="s">
        <v>182</v>
      </c>
      <c r="C40" s="60"/>
      <c r="D40" s="60"/>
      <c r="E40" s="60"/>
      <c r="F40" s="60"/>
      <c r="G40" s="60"/>
      <c r="H40" s="60"/>
      <c r="I40" s="60"/>
      <c r="J40" s="60"/>
      <c r="K40" s="60"/>
      <c r="L40" s="60"/>
      <c r="M40" s="60"/>
      <c r="N40" s="60"/>
      <c r="O40" s="60"/>
      <c r="P40" s="60"/>
      <c r="Q40" s="60"/>
      <c r="R40" s="60"/>
      <c r="S40" s="60"/>
      <c r="T40" s="60"/>
      <c r="U40" s="61"/>
    </row>
    <row r="41" spans="2:21" ht="37.35" customHeight="1">
      <c r="B41" s="59" t="s">
        <v>183</v>
      </c>
      <c r="C41" s="60"/>
      <c r="D41" s="60"/>
      <c r="E41" s="60"/>
      <c r="F41" s="60"/>
      <c r="G41" s="60"/>
      <c r="H41" s="60"/>
      <c r="I41" s="60"/>
      <c r="J41" s="60"/>
      <c r="K41" s="60"/>
      <c r="L41" s="60"/>
      <c r="M41" s="60"/>
      <c r="N41" s="60"/>
      <c r="O41" s="60"/>
      <c r="P41" s="60"/>
      <c r="Q41" s="60"/>
      <c r="R41" s="60"/>
      <c r="S41" s="60"/>
      <c r="T41" s="60"/>
      <c r="U41" s="61"/>
    </row>
    <row r="42" spans="2:21" ht="38.450000000000003" customHeight="1">
      <c r="B42" s="59" t="s">
        <v>184</v>
      </c>
      <c r="C42" s="60"/>
      <c r="D42" s="60"/>
      <c r="E42" s="60"/>
      <c r="F42" s="60"/>
      <c r="G42" s="60"/>
      <c r="H42" s="60"/>
      <c r="I42" s="60"/>
      <c r="J42" s="60"/>
      <c r="K42" s="60"/>
      <c r="L42" s="60"/>
      <c r="M42" s="60"/>
      <c r="N42" s="60"/>
      <c r="O42" s="60"/>
      <c r="P42" s="60"/>
      <c r="Q42" s="60"/>
      <c r="R42" s="60"/>
      <c r="S42" s="60"/>
      <c r="T42" s="60"/>
      <c r="U42" s="61"/>
    </row>
    <row r="43" spans="2:21" ht="36.75" customHeight="1">
      <c r="B43" s="59" t="s">
        <v>185</v>
      </c>
      <c r="C43" s="60"/>
      <c r="D43" s="60"/>
      <c r="E43" s="60"/>
      <c r="F43" s="60"/>
      <c r="G43" s="60"/>
      <c r="H43" s="60"/>
      <c r="I43" s="60"/>
      <c r="J43" s="60"/>
      <c r="K43" s="60"/>
      <c r="L43" s="60"/>
      <c r="M43" s="60"/>
      <c r="N43" s="60"/>
      <c r="O43" s="60"/>
      <c r="P43" s="60"/>
      <c r="Q43" s="60"/>
      <c r="R43" s="60"/>
      <c r="S43" s="60"/>
      <c r="T43" s="60"/>
      <c r="U43" s="61"/>
    </row>
    <row r="44" spans="2:21" ht="33.200000000000003" customHeight="1">
      <c r="B44" s="59" t="s">
        <v>186</v>
      </c>
      <c r="C44" s="60"/>
      <c r="D44" s="60"/>
      <c r="E44" s="60"/>
      <c r="F44" s="60"/>
      <c r="G44" s="60"/>
      <c r="H44" s="60"/>
      <c r="I44" s="60"/>
      <c r="J44" s="60"/>
      <c r="K44" s="60"/>
      <c r="L44" s="60"/>
      <c r="M44" s="60"/>
      <c r="N44" s="60"/>
      <c r="O44" s="60"/>
      <c r="P44" s="60"/>
      <c r="Q44" s="60"/>
      <c r="R44" s="60"/>
      <c r="S44" s="60"/>
      <c r="T44" s="60"/>
      <c r="U44" s="61"/>
    </row>
    <row r="45" spans="2:21" ht="75.75" customHeight="1" thickBot="1">
      <c r="B45" s="62" t="s">
        <v>187</v>
      </c>
      <c r="C45" s="63"/>
      <c r="D45" s="63"/>
      <c r="E45" s="63"/>
      <c r="F45" s="63"/>
      <c r="G45" s="63"/>
      <c r="H45" s="63"/>
      <c r="I45" s="63"/>
      <c r="J45" s="63"/>
      <c r="K45" s="63"/>
      <c r="L45" s="63"/>
      <c r="M45" s="63"/>
      <c r="N45" s="63"/>
      <c r="O45" s="63"/>
      <c r="P45" s="63"/>
      <c r="Q45" s="63"/>
      <c r="R45" s="63"/>
      <c r="S45" s="63"/>
      <c r="T45" s="63"/>
      <c r="U45" s="64"/>
    </row>
  </sheetData>
  <mergeCells count="8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C22:H22"/>
    <mergeCell ref="I22:K22"/>
    <mergeCell ref="L22:O22"/>
    <mergeCell ref="C23:H23"/>
    <mergeCell ref="I23:K23"/>
    <mergeCell ref="L23:O23"/>
    <mergeCell ref="B37:U37"/>
    <mergeCell ref="C24:H24"/>
    <mergeCell ref="I24:K24"/>
    <mergeCell ref="L24:O24"/>
    <mergeCell ref="B28:D28"/>
    <mergeCell ref="B29:D29"/>
    <mergeCell ref="B31:U31"/>
    <mergeCell ref="B32:U32"/>
    <mergeCell ref="B33:U33"/>
    <mergeCell ref="B34:U34"/>
    <mergeCell ref="B35:U35"/>
    <mergeCell ref="B36:U36"/>
    <mergeCell ref="B44:U44"/>
    <mergeCell ref="B45:U45"/>
    <mergeCell ref="B38:U38"/>
    <mergeCell ref="B39:U39"/>
    <mergeCell ref="B40:U40"/>
    <mergeCell ref="B41:U41"/>
    <mergeCell ref="B42:U42"/>
    <mergeCell ref="B43:U43"/>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7"/>
  <sheetViews>
    <sheetView view="pageBreakPreview" zoomScale="80" zoomScaleNormal="80" zoomScaleSheetLayoutView="80" workbookViewId="0">
      <selection activeCell="B5" sqref="B5:U5"/>
    </sheetView>
  </sheetViews>
  <sheetFormatPr baseColWidth="10" defaultColWidth="10" defaultRowHeight="12.75"/>
  <cols>
    <col min="1" max="1" width="3.42578125" style="1" customWidth="1"/>
    <col min="2" max="2" width="13.7109375" style="1" customWidth="1"/>
    <col min="3" max="3" width="5.85546875" style="1" customWidth="1"/>
    <col min="4" max="4" width="8.5703125" style="1" customWidth="1"/>
    <col min="5" max="5" width="9.7109375" style="1" customWidth="1"/>
    <col min="6" max="6" width="4.42578125" style="1" customWidth="1"/>
    <col min="7" max="7" width="0.28515625" style="1" customWidth="1"/>
    <col min="8" max="8" width="2.28515625" style="1" customWidth="1"/>
    <col min="9" max="9" width="6.5703125" style="1" customWidth="1"/>
    <col min="10" max="10" width="7.85546875" style="1" customWidth="1"/>
    <col min="11" max="11" width="9.42578125" style="1" customWidth="1"/>
    <col min="12" max="12" width="7.7109375" style="1" customWidth="1"/>
    <col min="13" max="13" width="6.140625" style="1" customWidth="1"/>
    <col min="14" max="14" width="8.28515625" style="1" customWidth="1"/>
    <col min="15" max="15" width="11.140625" style="1" customWidth="1"/>
    <col min="16" max="16" width="11.5703125" style="1" customWidth="1"/>
    <col min="17" max="17" width="12.140625" style="1" customWidth="1"/>
    <col min="18" max="18" width="9" style="1" customWidth="1"/>
    <col min="19" max="19" width="13" style="1" customWidth="1"/>
    <col min="20" max="20" width="10.7109375" style="1" customWidth="1"/>
    <col min="21" max="21" width="10.42578125" style="1" customWidth="1"/>
    <col min="22" max="22" width="11.42578125" style="1" customWidth="1"/>
    <col min="23" max="23" width="10.7109375" style="1" customWidth="1"/>
    <col min="24" max="24" width="8.42578125" style="1" customWidth="1"/>
    <col min="25" max="25" width="8.7109375" style="1" customWidth="1"/>
    <col min="26" max="26" width="9.5703125" style="1" customWidth="1"/>
    <col min="27" max="29" width="10" style="1"/>
    <col min="30" max="30" width="15.42578125" style="1" customWidth="1"/>
    <col min="31" max="16384" width="10" style="1"/>
  </cols>
  <sheetData>
    <row r="1" spans="1:34" s="2" customFormat="1" ht="48" customHeight="1">
      <c r="A1" s="3"/>
      <c r="B1" s="98" t="s">
        <v>583</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188</v>
      </c>
      <c r="D4" s="99" t="s">
        <v>189</v>
      </c>
      <c r="E4" s="99"/>
      <c r="F4" s="99"/>
      <c r="G4" s="99"/>
      <c r="H4" s="99"/>
      <c r="I4" s="14"/>
      <c r="J4" s="15" t="s">
        <v>9</v>
      </c>
      <c r="K4" s="16" t="s">
        <v>10</v>
      </c>
      <c r="L4" s="100" t="s">
        <v>1</v>
      </c>
      <c r="M4" s="100"/>
      <c r="N4" s="100"/>
      <c r="O4" s="100"/>
      <c r="P4" s="15" t="s">
        <v>11</v>
      </c>
      <c r="Q4" s="100" t="s">
        <v>12</v>
      </c>
      <c r="R4" s="100"/>
      <c r="S4" s="15" t="s">
        <v>13</v>
      </c>
      <c r="T4" s="100" t="s">
        <v>190</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191</v>
      </c>
      <c r="D6" s="80"/>
      <c r="E6" s="80"/>
      <c r="F6" s="80"/>
      <c r="G6" s="80"/>
      <c r="H6" s="18"/>
      <c r="I6" s="18"/>
      <c r="J6" s="18" t="s">
        <v>18</v>
      </c>
      <c r="K6" s="80" t="s">
        <v>192</v>
      </c>
      <c r="L6" s="80"/>
      <c r="M6" s="80"/>
      <c r="N6" s="19"/>
      <c r="O6" s="20" t="s">
        <v>20</v>
      </c>
      <c r="P6" s="80" t="s">
        <v>193</v>
      </c>
      <c r="Q6" s="80"/>
      <c r="R6" s="21"/>
      <c r="S6" s="20" t="s">
        <v>22</v>
      </c>
      <c r="T6" s="80" t="s">
        <v>194</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c r="A11" s="25"/>
      <c r="B11" s="26" t="s">
        <v>38</v>
      </c>
      <c r="C11" s="73" t="s">
        <v>195</v>
      </c>
      <c r="D11" s="73"/>
      <c r="E11" s="73"/>
      <c r="F11" s="73"/>
      <c r="G11" s="73"/>
      <c r="H11" s="73"/>
      <c r="I11" s="73" t="s">
        <v>196</v>
      </c>
      <c r="J11" s="73"/>
      <c r="K11" s="73"/>
      <c r="L11" s="73" t="s">
        <v>197</v>
      </c>
      <c r="M11" s="73"/>
      <c r="N11" s="73"/>
      <c r="O11" s="73"/>
      <c r="P11" s="27" t="s">
        <v>47</v>
      </c>
      <c r="Q11" s="27" t="s">
        <v>61</v>
      </c>
      <c r="R11" s="54">
        <v>0.25</v>
      </c>
      <c r="S11" s="54" t="s">
        <v>49</v>
      </c>
      <c r="T11" s="54">
        <v>0.12</v>
      </c>
      <c r="U11" s="28" t="str">
        <f t="shared" ref="U11:U20" si="0">IF(ISERR(T11/S11*100),"N/A",T11/S11*100)</f>
        <v>N/A</v>
      </c>
    </row>
    <row r="12" spans="1:34" ht="75" customHeight="1">
      <c r="A12" s="25"/>
      <c r="B12" s="29" t="s">
        <v>44</v>
      </c>
      <c r="C12" s="72" t="s">
        <v>44</v>
      </c>
      <c r="D12" s="72"/>
      <c r="E12" s="72"/>
      <c r="F12" s="72"/>
      <c r="G12" s="72"/>
      <c r="H12" s="72"/>
      <c r="I12" s="72" t="s">
        <v>198</v>
      </c>
      <c r="J12" s="72"/>
      <c r="K12" s="72"/>
      <c r="L12" s="72" t="s">
        <v>199</v>
      </c>
      <c r="M12" s="72"/>
      <c r="N12" s="72"/>
      <c r="O12" s="72"/>
      <c r="P12" s="30" t="s">
        <v>47</v>
      </c>
      <c r="Q12" s="30" t="s">
        <v>43</v>
      </c>
      <c r="R12" s="30">
        <v>67.09</v>
      </c>
      <c r="S12" s="30">
        <v>67.09</v>
      </c>
      <c r="T12" s="30">
        <v>72.06</v>
      </c>
      <c r="U12" s="32">
        <f t="shared" si="0"/>
        <v>107.40795945744522</v>
      </c>
    </row>
    <row r="13" spans="1:34" ht="75" customHeight="1">
      <c r="A13" s="25"/>
      <c r="B13" s="29" t="s">
        <v>44</v>
      </c>
      <c r="C13" s="72" t="s">
        <v>44</v>
      </c>
      <c r="D13" s="72"/>
      <c r="E13" s="72"/>
      <c r="F13" s="72"/>
      <c r="G13" s="72"/>
      <c r="H13" s="72"/>
      <c r="I13" s="72" t="s">
        <v>200</v>
      </c>
      <c r="J13" s="72"/>
      <c r="K13" s="72"/>
      <c r="L13" s="72" t="s">
        <v>201</v>
      </c>
      <c r="M13" s="72"/>
      <c r="N13" s="72"/>
      <c r="O13" s="72"/>
      <c r="P13" s="30" t="s">
        <v>47</v>
      </c>
      <c r="Q13" s="30" t="s">
        <v>139</v>
      </c>
      <c r="R13" s="30">
        <v>45.32</v>
      </c>
      <c r="S13" s="30">
        <v>45.32</v>
      </c>
      <c r="T13" s="30">
        <v>49.22</v>
      </c>
      <c r="U13" s="32">
        <f t="shared" si="0"/>
        <v>108.6054721977052</v>
      </c>
    </row>
    <row r="14" spans="1:34" ht="75" customHeight="1" thickBot="1">
      <c r="A14" s="25"/>
      <c r="B14" s="29" t="s">
        <v>44</v>
      </c>
      <c r="C14" s="72" t="s">
        <v>44</v>
      </c>
      <c r="D14" s="72"/>
      <c r="E14" s="72"/>
      <c r="F14" s="72"/>
      <c r="G14" s="72"/>
      <c r="H14" s="72"/>
      <c r="I14" s="72" t="s">
        <v>202</v>
      </c>
      <c r="J14" s="72"/>
      <c r="K14" s="72"/>
      <c r="L14" s="72" t="s">
        <v>203</v>
      </c>
      <c r="M14" s="72"/>
      <c r="N14" s="72"/>
      <c r="O14" s="72"/>
      <c r="P14" s="30" t="s">
        <v>47</v>
      </c>
      <c r="Q14" s="30" t="s">
        <v>139</v>
      </c>
      <c r="R14" s="30">
        <v>42.73</v>
      </c>
      <c r="S14" s="30">
        <v>42.73</v>
      </c>
      <c r="T14" s="30">
        <v>53.01</v>
      </c>
      <c r="U14" s="32">
        <f t="shared" si="0"/>
        <v>124.05803884858413</v>
      </c>
    </row>
    <row r="15" spans="1:34" ht="75" customHeight="1" thickTop="1" thickBot="1">
      <c r="A15" s="25"/>
      <c r="B15" s="26" t="s">
        <v>62</v>
      </c>
      <c r="C15" s="73" t="s">
        <v>204</v>
      </c>
      <c r="D15" s="73"/>
      <c r="E15" s="73"/>
      <c r="F15" s="73"/>
      <c r="G15" s="73"/>
      <c r="H15" s="73"/>
      <c r="I15" s="73" t="s">
        <v>205</v>
      </c>
      <c r="J15" s="73"/>
      <c r="K15" s="73"/>
      <c r="L15" s="73" t="s">
        <v>206</v>
      </c>
      <c r="M15" s="73"/>
      <c r="N15" s="73"/>
      <c r="O15" s="73"/>
      <c r="P15" s="27" t="s">
        <v>47</v>
      </c>
      <c r="Q15" s="27" t="s">
        <v>139</v>
      </c>
      <c r="R15" s="27">
        <v>65.27</v>
      </c>
      <c r="S15" s="27">
        <v>65.27</v>
      </c>
      <c r="T15" s="27">
        <v>65.569999999999993</v>
      </c>
      <c r="U15" s="28">
        <f t="shared" si="0"/>
        <v>100.45962923241918</v>
      </c>
    </row>
    <row r="16" spans="1:34" ht="75" customHeight="1" thickTop="1">
      <c r="A16" s="25"/>
      <c r="B16" s="26" t="s">
        <v>71</v>
      </c>
      <c r="C16" s="73" t="s">
        <v>207</v>
      </c>
      <c r="D16" s="73"/>
      <c r="E16" s="73"/>
      <c r="F16" s="73"/>
      <c r="G16" s="73"/>
      <c r="H16" s="73"/>
      <c r="I16" s="73" t="s">
        <v>208</v>
      </c>
      <c r="J16" s="73"/>
      <c r="K16" s="73"/>
      <c r="L16" s="73" t="s">
        <v>209</v>
      </c>
      <c r="M16" s="73"/>
      <c r="N16" s="73"/>
      <c r="O16" s="73"/>
      <c r="P16" s="27" t="s">
        <v>47</v>
      </c>
      <c r="Q16" s="27" t="s">
        <v>91</v>
      </c>
      <c r="R16" s="27">
        <v>81.98</v>
      </c>
      <c r="S16" s="27">
        <v>81.98</v>
      </c>
      <c r="T16" s="27">
        <v>80.94</v>
      </c>
      <c r="U16" s="28">
        <f t="shared" si="0"/>
        <v>98.731397901927281</v>
      </c>
    </row>
    <row r="17" spans="1:22" ht="75" customHeight="1">
      <c r="A17" s="25"/>
      <c r="B17" s="29" t="s">
        <v>44</v>
      </c>
      <c r="C17" s="72" t="s">
        <v>44</v>
      </c>
      <c r="D17" s="72"/>
      <c r="E17" s="72"/>
      <c r="F17" s="72"/>
      <c r="G17" s="72"/>
      <c r="H17" s="72"/>
      <c r="I17" s="72" t="s">
        <v>210</v>
      </c>
      <c r="J17" s="72"/>
      <c r="K17" s="72"/>
      <c r="L17" s="72" t="s">
        <v>211</v>
      </c>
      <c r="M17" s="72"/>
      <c r="N17" s="72"/>
      <c r="O17" s="72"/>
      <c r="P17" s="30" t="s">
        <v>212</v>
      </c>
      <c r="Q17" s="30" t="s">
        <v>61</v>
      </c>
      <c r="R17" s="30">
        <v>0.91</v>
      </c>
      <c r="S17" s="30">
        <v>0.91</v>
      </c>
      <c r="T17" s="30">
        <v>4.55</v>
      </c>
      <c r="U17" s="32">
        <f t="shared" si="0"/>
        <v>500</v>
      </c>
    </row>
    <row r="18" spans="1:22" ht="75" customHeight="1" thickBot="1">
      <c r="A18" s="25"/>
      <c r="B18" s="29" t="s">
        <v>44</v>
      </c>
      <c r="C18" s="72" t="s">
        <v>213</v>
      </c>
      <c r="D18" s="72"/>
      <c r="E18" s="72"/>
      <c r="F18" s="72"/>
      <c r="G18" s="72"/>
      <c r="H18" s="72"/>
      <c r="I18" s="72" t="s">
        <v>214</v>
      </c>
      <c r="J18" s="72"/>
      <c r="K18" s="72"/>
      <c r="L18" s="72" t="s">
        <v>215</v>
      </c>
      <c r="M18" s="72"/>
      <c r="N18" s="72"/>
      <c r="O18" s="72"/>
      <c r="P18" s="30" t="s">
        <v>212</v>
      </c>
      <c r="Q18" s="30" t="s">
        <v>91</v>
      </c>
      <c r="R18" s="30">
        <v>0.57999999999999996</v>
      </c>
      <c r="S18" s="30">
        <v>0.57999999999999996</v>
      </c>
      <c r="T18" s="30">
        <v>0.59</v>
      </c>
      <c r="U18" s="32">
        <f t="shared" si="0"/>
        <v>101.72413793103448</v>
      </c>
    </row>
    <row r="19" spans="1:22" ht="75" customHeight="1" thickTop="1">
      <c r="A19" s="25"/>
      <c r="B19" s="26" t="s">
        <v>87</v>
      </c>
      <c r="C19" s="73" t="s">
        <v>216</v>
      </c>
      <c r="D19" s="73"/>
      <c r="E19" s="73"/>
      <c r="F19" s="73"/>
      <c r="G19" s="73"/>
      <c r="H19" s="73"/>
      <c r="I19" s="73" t="s">
        <v>217</v>
      </c>
      <c r="J19" s="73"/>
      <c r="K19" s="73"/>
      <c r="L19" s="73" t="s">
        <v>218</v>
      </c>
      <c r="M19" s="73"/>
      <c r="N19" s="73"/>
      <c r="O19" s="73"/>
      <c r="P19" s="27" t="s">
        <v>47</v>
      </c>
      <c r="Q19" s="27" t="s">
        <v>91</v>
      </c>
      <c r="R19" s="27">
        <v>84.38</v>
      </c>
      <c r="S19" s="27">
        <v>84.38</v>
      </c>
      <c r="T19" s="27">
        <v>84.21</v>
      </c>
      <c r="U19" s="28">
        <f t="shared" si="0"/>
        <v>99.798530457454376</v>
      </c>
    </row>
    <row r="20" spans="1:22" ht="75" customHeight="1" thickBot="1">
      <c r="A20" s="25"/>
      <c r="B20" s="29" t="s">
        <v>44</v>
      </c>
      <c r="C20" s="72" t="s">
        <v>44</v>
      </c>
      <c r="D20" s="72"/>
      <c r="E20" s="72"/>
      <c r="F20" s="72"/>
      <c r="G20" s="72"/>
      <c r="H20" s="72"/>
      <c r="I20" s="72" t="s">
        <v>219</v>
      </c>
      <c r="J20" s="72"/>
      <c r="K20" s="72"/>
      <c r="L20" s="72" t="s">
        <v>220</v>
      </c>
      <c r="M20" s="72"/>
      <c r="N20" s="72"/>
      <c r="O20" s="72"/>
      <c r="P20" s="30" t="s">
        <v>212</v>
      </c>
      <c r="Q20" s="30" t="s">
        <v>91</v>
      </c>
      <c r="R20" s="30">
        <v>2.08</v>
      </c>
      <c r="S20" s="30">
        <v>2.08</v>
      </c>
      <c r="T20" s="30">
        <v>13.55</v>
      </c>
      <c r="U20" s="32">
        <f t="shared" si="0"/>
        <v>651.44230769230762</v>
      </c>
    </row>
    <row r="21" spans="1:22" ht="22.5" customHeight="1" thickTop="1" thickBot="1">
      <c r="B21" s="8" t="s">
        <v>98</v>
      </c>
      <c r="C21" s="9"/>
      <c r="D21" s="9"/>
      <c r="E21" s="9"/>
      <c r="F21" s="9"/>
      <c r="G21" s="9"/>
      <c r="H21" s="10"/>
      <c r="I21" s="10"/>
      <c r="J21" s="10"/>
      <c r="K21" s="10"/>
      <c r="L21" s="10"/>
      <c r="M21" s="10"/>
      <c r="N21" s="10"/>
      <c r="O21" s="10"/>
      <c r="P21" s="10"/>
      <c r="Q21" s="10"/>
      <c r="R21" s="10"/>
      <c r="S21" s="10"/>
      <c r="T21" s="10"/>
      <c r="U21" s="11"/>
      <c r="V21" s="33"/>
    </row>
    <row r="22" spans="1:22" ht="26.25" customHeight="1" thickTop="1">
      <c r="B22" s="34"/>
      <c r="C22" s="35"/>
      <c r="D22" s="35"/>
      <c r="E22" s="35"/>
      <c r="F22" s="35"/>
      <c r="G22" s="35"/>
      <c r="H22" s="36"/>
      <c r="I22" s="36"/>
      <c r="J22" s="36"/>
      <c r="K22" s="36"/>
      <c r="L22" s="36"/>
      <c r="M22" s="36"/>
      <c r="N22" s="36"/>
      <c r="O22" s="36"/>
      <c r="P22" s="37"/>
      <c r="Q22" s="38"/>
      <c r="R22" s="39" t="s">
        <v>99</v>
      </c>
      <c r="S22" s="22" t="s">
        <v>100</v>
      </c>
      <c r="T22" s="39" t="s">
        <v>101</v>
      </c>
      <c r="U22" s="22" t="s">
        <v>102</v>
      </c>
    </row>
    <row r="23" spans="1:22" ht="26.25" customHeight="1" thickBot="1">
      <c r="B23" s="40"/>
      <c r="C23" s="41"/>
      <c r="D23" s="41"/>
      <c r="E23" s="41"/>
      <c r="F23" s="41"/>
      <c r="G23" s="41"/>
      <c r="H23" s="42"/>
      <c r="I23" s="42"/>
      <c r="J23" s="42"/>
      <c r="K23" s="42"/>
      <c r="L23" s="42"/>
      <c r="M23" s="42"/>
      <c r="N23" s="42"/>
      <c r="O23" s="42"/>
      <c r="P23" s="43"/>
      <c r="Q23" s="44"/>
      <c r="R23" s="45" t="s">
        <v>103</v>
      </c>
      <c r="S23" s="44" t="s">
        <v>103</v>
      </c>
      <c r="T23" s="44" t="s">
        <v>103</v>
      </c>
      <c r="U23" s="44" t="s">
        <v>104</v>
      </c>
    </row>
    <row r="24" spans="1:22" ht="13.5" customHeight="1" thickBot="1">
      <c r="B24" s="65" t="s">
        <v>105</v>
      </c>
      <c r="C24" s="66"/>
      <c r="D24" s="66"/>
      <c r="E24" s="46"/>
      <c r="F24" s="46"/>
      <c r="G24" s="46"/>
      <c r="H24" s="47"/>
      <c r="I24" s="47"/>
      <c r="J24" s="47"/>
      <c r="K24" s="47"/>
      <c r="L24" s="47"/>
      <c r="M24" s="47"/>
      <c r="N24" s="47"/>
      <c r="O24" s="47"/>
      <c r="P24" s="48"/>
      <c r="Q24" s="48"/>
      <c r="R24" s="49">
        <f>718.539898</f>
        <v>718.53989799999999</v>
      </c>
      <c r="S24" s="49">
        <f>429.386581</f>
        <v>429.38658099999998</v>
      </c>
      <c r="T24" s="49">
        <f>463.301562459999</f>
        <v>463.30156245999899</v>
      </c>
      <c r="U24" s="50">
        <f>+IF(ISERR(T24/S24*100),"N/A",T24/S24*100)</f>
        <v>107.8984726027102</v>
      </c>
    </row>
    <row r="25" spans="1:22" ht="13.5" customHeight="1" thickBot="1">
      <c r="B25" s="67" t="s">
        <v>106</v>
      </c>
      <c r="C25" s="68"/>
      <c r="D25" s="68"/>
      <c r="E25" s="51"/>
      <c r="F25" s="51"/>
      <c r="G25" s="51"/>
      <c r="H25" s="52"/>
      <c r="I25" s="52"/>
      <c r="J25" s="52"/>
      <c r="K25" s="52"/>
      <c r="L25" s="52"/>
      <c r="M25" s="52"/>
      <c r="N25" s="52"/>
      <c r="O25" s="52"/>
      <c r="P25" s="53"/>
      <c r="Q25" s="53"/>
      <c r="R25" s="49">
        <f>671.096601</f>
        <v>671.09660099999996</v>
      </c>
      <c r="S25" s="49">
        <f>482.684439</f>
        <v>482.684439</v>
      </c>
      <c r="T25" s="49">
        <f>463.301562459999</f>
        <v>463.30156245999899</v>
      </c>
      <c r="U25" s="50">
        <f>+IF(ISERR(T25/S25*100),"N/A",T25/S25*100)</f>
        <v>95.984358522069329</v>
      </c>
    </row>
    <row r="26" spans="1:22" ht="14.85" customHeight="1" thickTop="1" thickBot="1">
      <c r="B26" s="8" t="s">
        <v>107</v>
      </c>
      <c r="C26" s="9"/>
      <c r="D26" s="9"/>
      <c r="E26" s="9"/>
      <c r="F26" s="9"/>
      <c r="G26" s="9"/>
      <c r="H26" s="10"/>
      <c r="I26" s="10"/>
      <c r="J26" s="10"/>
      <c r="K26" s="10"/>
      <c r="L26" s="10"/>
      <c r="M26" s="10"/>
      <c r="N26" s="10"/>
      <c r="O26" s="10"/>
      <c r="P26" s="10"/>
      <c r="Q26" s="10"/>
      <c r="R26" s="10"/>
      <c r="S26" s="10"/>
      <c r="T26" s="10"/>
      <c r="U26" s="11"/>
    </row>
    <row r="27" spans="1:22" ht="44.25" customHeight="1" thickTop="1">
      <c r="B27" s="69" t="s">
        <v>108</v>
      </c>
      <c r="C27" s="70"/>
      <c r="D27" s="70"/>
      <c r="E27" s="70"/>
      <c r="F27" s="70"/>
      <c r="G27" s="70"/>
      <c r="H27" s="70"/>
      <c r="I27" s="70"/>
      <c r="J27" s="70"/>
      <c r="K27" s="70"/>
      <c r="L27" s="70"/>
      <c r="M27" s="70"/>
      <c r="N27" s="70"/>
      <c r="O27" s="70"/>
      <c r="P27" s="70"/>
      <c r="Q27" s="70"/>
      <c r="R27" s="70"/>
      <c r="S27" s="70"/>
      <c r="T27" s="70"/>
      <c r="U27" s="71"/>
    </row>
    <row r="28" spans="1:22" ht="16.350000000000001" customHeight="1">
      <c r="B28" s="59" t="s">
        <v>221</v>
      </c>
      <c r="C28" s="60"/>
      <c r="D28" s="60"/>
      <c r="E28" s="60"/>
      <c r="F28" s="60"/>
      <c r="G28" s="60"/>
      <c r="H28" s="60"/>
      <c r="I28" s="60"/>
      <c r="J28" s="60"/>
      <c r="K28" s="60"/>
      <c r="L28" s="60"/>
      <c r="M28" s="60"/>
      <c r="N28" s="60"/>
      <c r="O28" s="60"/>
      <c r="P28" s="60"/>
      <c r="Q28" s="60"/>
      <c r="R28" s="60"/>
      <c r="S28" s="60"/>
      <c r="T28" s="60"/>
      <c r="U28" s="61"/>
    </row>
    <row r="29" spans="1:22" ht="77.099999999999994" customHeight="1">
      <c r="B29" s="59" t="s">
        <v>222</v>
      </c>
      <c r="C29" s="60"/>
      <c r="D29" s="60"/>
      <c r="E29" s="60"/>
      <c r="F29" s="60"/>
      <c r="G29" s="60"/>
      <c r="H29" s="60"/>
      <c r="I29" s="60"/>
      <c r="J29" s="60"/>
      <c r="K29" s="60"/>
      <c r="L29" s="60"/>
      <c r="M29" s="60"/>
      <c r="N29" s="60"/>
      <c r="O29" s="60"/>
      <c r="P29" s="60"/>
      <c r="Q29" s="60"/>
      <c r="R29" s="60"/>
      <c r="S29" s="60"/>
      <c r="T29" s="60"/>
      <c r="U29" s="61"/>
    </row>
    <row r="30" spans="1:22" ht="183.75" customHeight="1">
      <c r="B30" s="59" t="s">
        <v>223</v>
      </c>
      <c r="C30" s="60"/>
      <c r="D30" s="60"/>
      <c r="E30" s="60"/>
      <c r="F30" s="60"/>
      <c r="G30" s="60"/>
      <c r="H30" s="60"/>
      <c r="I30" s="60"/>
      <c r="J30" s="60"/>
      <c r="K30" s="60"/>
      <c r="L30" s="60"/>
      <c r="M30" s="60"/>
      <c r="N30" s="60"/>
      <c r="O30" s="60"/>
      <c r="P30" s="60"/>
      <c r="Q30" s="60"/>
      <c r="R30" s="60"/>
      <c r="S30" s="60"/>
      <c r="T30" s="60"/>
      <c r="U30" s="61"/>
    </row>
    <row r="31" spans="1:22" ht="110.85" customHeight="1">
      <c r="B31" s="59" t="s">
        <v>224</v>
      </c>
      <c r="C31" s="60"/>
      <c r="D31" s="60"/>
      <c r="E31" s="60"/>
      <c r="F31" s="60"/>
      <c r="G31" s="60"/>
      <c r="H31" s="60"/>
      <c r="I31" s="60"/>
      <c r="J31" s="60"/>
      <c r="K31" s="60"/>
      <c r="L31" s="60"/>
      <c r="M31" s="60"/>
      <c r="N31" s="60"/>
      <c r="O31" s="60"/>
      <c r="P31" s="60"/>
      <c r="Q31" s="60"/>
      <c r="R31" s="60"/>
      <c r="S31" s="60"/>
      <c r="T31" s="60"/>
      <c r="U31" s="61"/>
    </row>
    <row r="32" spans="1:22" ht="123.75" customHeight="1">
      <c r="B32" s="59" t="s">
        <v>225</v>
      </c>
      <c r="C32" s="60"/>
      <c r="D32" s="60"/>
      <c r="E32" s="60"/>
      <c r="F32" s="60"/>
      <c r="G32" s="60"/>
      <c r="H32" s="60"/>
      <c r="I32" s="60"/>
      <c r="J32" s="60"/>
      <c r="K32" s="60"/>
      <c r="L32" s="60"/>
      <c r="M32" s="60"/>
      <c r="N32" s="60"/>
      <c r="O32" s="60"/>
      <c r="P32" s="60"/>
      <c r="Q32" s="60"/>
      <c r="R32" s="60"/>
      <c r="S32" s="60"/>
      <c r="T32" s="60"/>
      <c r="U32" s="61"/>
    </row>
    <row r="33" spans="2:21" ht="105.6" customHeight="1">
      <c r="B33" s="59" t="s">
        <v>226</v>
      </c>
      <c r="C33" s="60"/>
      <c r="D33" s="60"/>
      <c r="E33" s="60"/>
      <c r="F33" s="60"/>
      <c r="G33" s="60"/>
      <c r="H33" s="60"/>
      <c r="I33" s="60"/>
      <c r="J33" s="60"/>
      <c r="K33" s="60"/>
      <c r="L33" s="60"/>
      <c r="M33" s="60"/>
      <c r="N33" s="60"/>
      <c r="O33" s="60"/>
      <c r="P33" s="60"/>
      <c r="Q33" s="60"/>
      <c r="R33" s="60"/>
      <c r="S33" s="60"/>
      <c r="T33" s="60"/>
      <c r="U33" s="61"/>
    </row>
    <row r="34" spans="2:21" ht="116.1" customHeight="1">
      <c r="B34" s="59" t="s">
        <v>227</v>
      </c>
      <c r="C34" s="60"/>
      <c r="D34" s="60"/>
      <c r="E34" s="60"/>
      <c r="F34" s="60"/>
      <c r="G34" s="60"/>
      <c r="H34" s="60"/>
      <c r="I34" s="60"/>
      <c r="J34" s="60"/>
      <c r="K34" s="60"/>
      <c r="L34" s="60"/>
      <c r="M34" s="60"/>
      <c r="N34" s="60"/>
      <c r="O34" s="60"/>
      <c r="P34" s="60"/>
      <c r="Q34" s="60"/>
      <c r="R34" s="60"/>
      <c r="S34" s="60"/>
      <c r="T34" s="60"/>
      <c r="U34" s="61"/>
    </row>
    <row r="35" spans="2:21" ht="150" customHeight="1">
      <c r="B35" s="59" t="s">
        <v>228</v>
      </c>
      <c r="C35" s="60"/>
      <c r="D35" s="60"/>
      <c r="E35" s="60"/>
      <c r="F35" s="60"/>
      <c r="G35" s="60"/>
      <c r="H35" s="60"/>
      <c r="I35" s="60"/>
      <c r="J35" s="60"/>
      <c r="K35" s="60"/>
      <c r="L35" s="60"/>
      <c r="M35" s="60"/>
      <c r="N35" s="60"/>
      <c r="O35" s="60"/>
      <c r="P35" s="60"/>
      <c r="Q35" s="60"/>
      <c r="R35" s="60"/>
      <c r="S35" s="60"/>
      <c r="T35" s="60"/>
      <c r="U35" s="61"/>
    </row>
    <row r="36" spans="2:21" ht="123.2" customHeight="1">
      <c r="B36" s="59" t="s">
        <v>229</v>
      </c>
      <c r="C36" s="60"/>
      <c r="D36" s="60"/>
      <c r="E36" s="60"/>
      <c r="F36" s="60"/>
      <c r="G36" s="60"/>
      <c r="H36" s="60"/>
      <c r="I36" s="60"/>
      <c r="J36" s="60"/>
      <c r="K36" s="60"/>
      <c r="L36" s="60"/>
      <c r="M36" s="60"/>
      <c r="N36" s="60"/>
      <c r="O36" s="60"/>
      <c r="P36" s="60"/>
      <c r="Q36" s="60"/>
      <c r="R36" s="60"/>
      <c r="S36" s="60"/>
      <c r="T36" s="60"/>
      <c r="U36" s="61"/>
    </row>
    <row r="37" spans="2:21" ht="123.6" customHeight="1" thickBot="1">
      <c r="B37" s="62" t="s">
        <v>230</v>
      </c>
      <c r="C37" s="63"/>
      <c r="D37" s="63"/>
      <c r="E37" s="63"/>
      <c r="F37" s="63"/>
      <c r="G37" s="63"/>
      <c r="H37" s="63"/>
      <c r="I37" s="63"/>
      <c r="J37" s="63"/>
      <c r="K37" s="63"/>
      <c r="L37" s="63"/>
      <c r="M37" s="63"/>
      <c r="N37" s="63"/>
      <c r="O37" s="63"/>
      <c r="P37" s="63"/>
      <c r="Q37" s="63"/>
      <c r="R37" s="63"/>
      <c r="S37" s="63"/>
      <c r="T37" s="63"/>
      <c r="U37" s="64"/>
    </row>
  </sheetData>
  <mergeCells count="6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B27:U27"/>
    <mergeCell ref="C18:H18"/>
    <mergeCell ref="I18:K18"/>
    <mergeCell ref="L18:O18"/>
    <mergeCell ref="C19:H19"/>
    <mergeCell ref="I19:K19"/>
    <mergeCell ref="L19:O19"/>
    <mergeCell ref="C20:H20"/>
    <mergeCell ref="I20:K20"/>
    <mergeCell ref="L20:O20"/>
    <mergeCell ref="B24:D24"/>
    <mergeCell ref="B25:D25"/>
    <mergeCell ref="B34:U34"/>
    <mergeCell ref="B35:U35"/>
    <mergeCell ref="B36:U36"/>
    <mergeCell ref="B37:U37"/>
    <mergeCell ref="B28:U28"/>
    <mergeCell ref="B29:U29"/>
    <mergeCell ref="B30:U30"/>
    <mergeCell ref="B31:U31"/>
    <mergeCell ref="B32:U32"/>
    <mergeCell ref="B33:U33"/>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I8" sqref="I8:S8"/>
    </sheetView>
  </sheetViews>
  <sheetFormatPr baseColWidth="10" defaultColWidth="10" defaultRowHeight="12.75"/>
  <cols>
    <col min="1" max="1" width="3.42578125" style="1" customWidth="1"/>
    <col min="2" max="2" width="13.7109375" style="1" customWidth="1"/>
    <col min="3" max="3" width="5.85546875" style="1" customWidth="1"/>
    <col min="4" max="4" width="8.5703125" style="1" customWidth="1"/>
    <col min="5" max="5" width="9.7109375" style="1" customWidth="1"/>
    <col min="6" max="6" width="4.42578125" style="1" customWidth="1"/>
    <col min="7" max="7" width="0.28515625" style="1" customWidth="1"/>
    <col min="8" max="8" width="2.28515625" style="1" customWidth="1"/>
    <col min="9" max="9" width="6.5703125" style="1" customWidth="1"/>
    <col min="10" max="10" width="7.85546875" style="1" customWidth="1"/>
    <col min="11" max="11" width="9.42578125" style="1" customWidth="1"/>
    <col min="12" max="12" width="7.7109375" style="1" customWidth="1"/>
    <col min="13" max="13" width="6.140625" style="1" customWidth="1"/>
    <col min="14" max="14" width="8.28515625" style="1" customWidth="1"/>
    <col min="15" max="15" width="11.140625" style="1" customWidth="1"/>
    <col min="16" max="16" width="11.5703125" style="1" customWidth="1"/>
    <col min="17" max="17" width="12.140625" style="1" customWidth="1"/>
    <col min="18" max="18" width="9" style="1" customWidth="1"/>
    <col min="19" max="19" width="13" style="1" customWidth="1"/>
    <col min="20" max="20" width="10.7109375" style="1" customWidth="1"/>
    <col min="21" max="21" width="10.42578125" style="1" customWidth="1"/>
    <col min="22" max="22" width="11.42578125" style="1" customWidth="1"/>
    <col min="23" max="23" width="10.7109375" style="1" customWidth="1"/>
    <col min="24" max="24" width="8.42578125" style="1" customWidth="1"/>
    <col min="25" max="25" width="8.7109375" style="1" customWidth="1"/>
    <col min="26" max="26" width="9.5703125" style="1" customWidth="1"/>
    <col min="27" max="29" width="10" style="1"/>
    <col min="30" max="30" width="15.42578125" style="1" customWidth="1"/>
    <col min="31" max="16384" width="10" style="1"/>
  </cols>
  <sheetData>
    <row r="1" spans="1:34" s="2" customFormat="1" ht="48" customHeight="1">
      <c r="A1" s="3"/>
      <c r="B1" s="98" t="s">
        <v>583</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231</v>
      </c>
      <c r="D4" s="99" t="s">
        <v>232</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v>
      </c>
      <c r="D6" s="80"/>
      <c r="E6" s="80"/>
      <c r="F6" s="80"/>
      <c r="G6" s="80"/>
      <c r="H6" s="18"/>
      <c r="I6" s="18"/>
      <c r="J6" s="18" t="s">
        <v>18</v>
      </c>
      <c r="K6" s="80" t="s">
        <v>19</v>
      </c>
      <c r="L6" s="80"/>
      <c r="M6" s="80"/>
      <c r="N6" s="19"/>
      <c r="O6" s="20" t="s">
        <v>20</v>
      </c>
      <c r="P6" s="80" t="s">
        <v>233</v>
      </c>
      <c r="Q6" s="80"/>
      <c r="R6" s="21"/>
      <c r="S6" s="20" t="s">
        <v>22</v>
      </c>
      <c r="T6" s="80" t="s">
        <v>234</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c r="A11" s="25"/>
      <c r="B11" s="26" t="s">
        <v>38</v>
      </c>
      <c r="C11" s="73" t="s">
        <v>235</v>
      </c>
      <c r="D11" s="73"/>
      <c r="E11" s="73"/>
      <c r="F11" s="73"/>
      <c r="G11" s="73"/>
      <c r="H11" s="73"/>
      <c r="I11" s="73" t="s">
        <v>236</v>
      </c>
      <c r="J11" s="73"/>
      <c r="K11" s="73"/>
      <c r="L11" s="73" t="s">
        <v>237</v>
      </c>
      <c r="M11" s="73"/>
      <c r="N11" s="73"/>
      <c r="O11" s="73"/>
      <c r="P11" s="27" t="s">
        <v>47</v>
      </c>
      <c r="Q11" s="27" t="s">
        <v>48</v>
      </c>
      <c r="R11" s="54">
        <v>80</v>
      </c>
      <c r="S11" s="54" t="s">
        <v>49</v>
      </c>
      <c r="T11" s="54" t="s">
        <v>49</v>
      </c>
      <c r="U11" s="28" t="str">
        <f>IF(ISERR(T11/S11*100),"N/A",T11/S11*100)</f>
        <v>N/A</v>
      </c>
    </row>
    <row r="12" spans="1:34" ht="75" customHeight="1" thickBot="1">
      <c r="A12" s="25"/>
      <c r="B12" s="29" t="s">
        <v>44</v>
      </c>
      <c r="C12" s="72" t="s">
        <v>44</v>
      </c>
      <c r="D12" s="72"/>
      <c r="E12" s="72"/>
      <c r="F12" s="72"/>
      <c r="G12" s="72"/>
      <c r="H12" s="72"/>
      <c r="I12" s="72" t="s">
        <v>238</v>
      </c>
      <c r="J12" s="72"/>
      <c r="K12" s="72"/>
      <c r="L12" s="72" t="s">
        <v>239</v>
      </c>
      <c r="M12" s="72"/>
      <c r="N12" s="72"/>
      <c r="O12" s="72"/>
      <c r="P12" s="30" t="s">
        <v>47</v>
      </c>
      <c r="Q12" s="30" t="s">
        <v>75</v>
      </c>
      <c r="R12" s="30">
        <v>5.55</v>
      </c>
      <c r="S12" s="30">
        <v>5.55</v>
      </c>
      <c r="T12" s="30">
        <v>5.41</v>
      </c>
      <c r="U12" s="32">
        <f>IF(ISERR(T12/S12*100),"N/A",T12/S12*100)</f>
        <v>97.477477477477478</v>
      </c>
    </row>
    <row r="13" spans="1:34" ht="75" customHeight="1" thickTop="1" thickBot="1">
      <c r="A13" s="25"/>
      <c r="B13" s="26" t="s">
        <v>62</v>
      </c>
      <c r="C13" s="73" t="s">
        <v>240</v>
      </c>
      <c r="D13" s="73"/>
      <c r="E13" s="73"/>
      <c r="F13" s="73"/>
      <c r="G13" s="73"/>
      <c r="H13" s="73"/>
      <c r="I13" s="73" t="s">
        <v>241</v>
      </c>
      <c r="J13" s="73"/>
      <c r="K13" s="73"/>
      <c r="L13" s="73" t="s">
        <v>242</v>
      </c>
      <c r="M13" s="73"/>
      <c r="N13" s="73"/>
      <c r="O13" s="73"/>
      <c r="P13" s="27" t="s">
        <v>47</v>
      </c>
      <c r="Q13" s="27" t="s">
        <v>75</v>
      </c>
      <c r="R13" s="27">
        <v>18.850000000000001</v>
      </c>
      <c r="S13" s="27">
        <v>18.850000000000001</v>
      </c>
      <c r="T13" s="27">
        <v>19.61</v>
      </c>
      <c r="U13" s="28">
        <f>IF(ISERR(T13/S13*100),"N/A",T13/S13*100)</f>
        <v>104.03183023872677</v>
      </c>
    </row>
    <row r="14" spans="1:34" ht="75" customHeight="1" thickTop="1">
      <c r="A14" s="25"/>
      <c r="B14" s="26" t="s">
        <v>71</v>
      </c>
      <c r="C14" s="73" t="s">
        <v>243</v>
      </c>
      <c r="D14" s="73"/>
      <c r="E14" s="73"/>
      <c r="F14" s="73"/>
      <c r="G14" s="73"/>
      <c r="H14" s="73"/>
      <c r="I14" s="73" t="s">
        <v>244</v>
      </c>
      <c r="J14" s="73"/>
      <c r="K14" s="73"/>
      <c r="L14" s="73" t="s">
        <v>245</v>
      </c>
      <c r="M14" s="73"/>
      <c r="N14" s="73"/>
      <c r="O14" s="73"/>
      <c r="P14" s="27" t="s">
        <v>246</v>
      </c>
      <c r="Q14" s="27" t="s">
        <v>75</v>
      </c>
      <c r="R14" s="27">
        <v>30</v>
      </c>
      <c r="S14" s="27">
        <v>30</v>
      </c>
      <c r="T14" s="27">
        <v>30.6</v>
      </c>
      <c r="U14" s="28">
        <f>IF(ISERR((S14-T14)*100/S14+100),"N/A",(S14-T14)*100/S14+100)</f>
        <v>98</v>
      </c>
    </row>
    <row r="15" spans="1:34" ht="75" customHeight="1">
      <c r="A15" s="25"/>
      <c r="B15" s="29" t="s">
        <v>44</v>
      </c>
      <c r="C15" s="72" t="s">
        <v>44</v>
      </c>
      <c r="D15" s="72"/>
      <c r="E15" s="72"/>
      <c r="F15" s="72"/>
      <c r="G15" s="72"/>
      <c r="H15" s="72"/>
      <c r="I15" s="72" t="s">
        <v>247</v>
      </c>
      <c r="J15" s="72"/>
      <c r="K15" s="72"/>
      <c r="L15" s="72" t="s">
        <v>248</v>
      </c>
      <c r="M15" s="72"/>
      <c r="N15" s="72"/>
      <c r="O15" s="72"/>
      <c r="P15" s="30" t="s">
        <v>47</v>
      </c>
      <c r="Q15" s="30" t="s">
        <v>249</v>
      </c>
      <c r="R15" s="30">
        <v>93.97</v>
      </c>
      <c r="S15" s="30">
        <v>93.97</v>
      </c>
      <c r="T15" s="30">
        <v>93.79</v>
      </c>
      <c r="U15" s="32">
        <f>IF(ISERR(T15/S15*100),"N/A",T15/S15*100)</f>
        <v>99.808449505161235</v>
      </c>
    </row>
    <row r="16" spans="1:34" ht="75" customHeight="1">
      <c r="A16" s="25"/>
      <c r="B16" s="29" t="s">
        <v>44</v>
      </c>
      <c r="C16" s="72" t="s">
        <v>250</v>
      </c>
      <c r="D16" s="72"/>
      <c r="E16" s="72"/>
      <c r="F16" s="72"/>
      <c r="G16" s="72"/>
      <c r="H16" s="72"/>
      <c r="I16" s="72" t="s">
        <v>251</v>
      </c>
      <c r="J16" s="72"/>
      <c r="K16" s="72"/>
      <c r="L16" s="72" t="s">
        <v>252</v>
      </c>
      <c r="M16" s="72"/>
      <c r="N16" s="72"/>
      <c r="O16" s="72"/>
      <c r="P16" s="30" t="s">
        <v>47</v>
      </c>
      <c r="Q16" s="30" t="s">
        <v>75</v>
      </c>
      <c r="R16" s="30">
        <v>10.78</v>
      </c>
      <c r="S16" s="30">
        <v>10.78</v>
      </c>
      <c r="T16" s="30">
        <v>10.72</v>
      </c>
      <c r="U16" s="32">
        <f>IF(ISERR(T16/S16*100),"N/A",T16/S16*100)</f>
        <v>99.443413729128025</v>
      </c>
    </row>
    <row r="17" spans="1:22" ht="75" customHeight="1" thickBot="1">
      <c r="A17" s="25"/>
      <c r="B17" s="29" t="s">
        <v>44</v>
      </c>
      <c r="C17" s="72" t="s">
        <v>44</v>
      </c>
      <c r="D17" s="72"/>
      <c r="E17" s="72"/>
      <c r="F17" s="72"/>
      <c r="G17" s="72"/>
      <c r="H17" s="72"/>
      <c r="I17" s="72" t="s">
        <v>253</v>
      </c>
      <c r="J17" s="72"/>
      <c r="K17" s="72"/>
      <c r="L17" s="72" t="s">
        <v>254</v>
      </c>
      <c r="M17" s="72"/>
      <c r="N17" s="72"/>
      <c r="O17" s="72"/>
      <c r="P17" s="30" t="s">
        <v>47</v>
      </c>
      <c r="Q17" s="30" t="s">
        <v>75</v>
      </c>
      <c r="R17" s="30">
        <v>8.49</v>
      </c>
      <c r="S17" s="30">
        <v>8.49</v>
      </c>
      <c r="T17" s="30">
        <v>8.5500000000000007</v>
      </c>
      <c r="U17" s="32">
        <f>IF(ISERR(T17/S17*100),"N/A",T17/S17*100)</f>
        <v>100.70671378091873</v>
      </c>
    </row>
    <row r="18" spans="1:22" ht="75" customHeight="1" thickTop="1">
      <c r="A18" s="25"/>
      <c r="B18" s="26" t="s">
        <v>87</v>
      </c>
      <c r="C18" s="73" t="s">
        <v>255</v>
      </c>
      <c r="D18" s="73"/>
      <c r="E18" s="73"/>
      <c r="F18" s="73"/>
      <c r="G18" s="73"/>
      <c r="H18" s="73"/>
      <c r="I18" s="73" t="s">
        <v>256</v>
      </c>
      <c r="J18" s="73"/>
      <c r="K18" s="73"/>
      <c r="L18" s="73" t="s">
        <v>257</v>
      </c>
      <c r="M18" s="73"/>
      <c r="N18" s="73"/>
      <c r="O18" s="73"/>
      <c r="P18" s="27" t="s">
        <v>47</v>
      </c>
      <c r="Q18" s="27" t="s">
        <v>258</v>
      </c>
      <c r="R18" s="27">
        <v>86.84</v>
      </c>
      <c r="S18" s="27">
        <v>86.84</v>
      </c>
      <c r="T18" s="27">
        <v>89.59</v>
      </c>
      <c r="U18" s="28">
        <f>IF(ISERR(T18/S18*100),"N/A",T18/S18*100)</f>
        <v>103.16674343620451</v>
      </c>
    </row>
    <row r="19" spans="1:22" ht="75" customHeight="1" thickBot="1">
      <c r="A19" s="25"/>
      <c r="B19" s="29" t="s">
        <v>44</v>
      </c>
      <c r="C19" s="72" t="s">
        <v>259</v>
      </c>
      <c r="D19" s="72"/>
      <c r="E19" s="72"/>
      <c r="F19" s="72"/>
      <c r="G19" s="72"/>
      <c r="H19" s="72"/>
      <c r="I19" s="72" t="s">
        <v>260</v>
      </c>
      <c r="J19" s="72"/>
      <c r="K19" s="72"/>
      <c r="L19" s="72" t="s">
        <v>261</v>
      </c>
      <c r="M19" s="72"/>
      <c r="N19" s="72"/>
      <c r="O19" s="72"/>
      <c r="P19" s="30" t="s">
        <v>47</v>
      </c>
      <c r="Q19" s="30" t="s">
        <v>258</v>
      </c>
      <c r="R19" s="30">
        <v>90.5</v>
      </c>
      <c r="S19" s="30">
        <v>90.5</v>
      </c>
      <c r="T19" s="30">
        <v>91.31</v>
      </c>
      <c r="U19" s="32">
        <f>IF(ISERR(T19/S19*100),"N/A",T19/S19*100)</f>
        <v>100.89502762430939</v>
      </c>
    </row>
    <row r="20" spans="1:22" ht="22.5" customHeight="1" thickTop="1" thickBot="1">
      <c r="B20" s="8" t="s">
        <v>98</v>
      </c>
      <c r="C20" s="9"/>
      <c r="D20" s="9"/>
      <c r="E20" s="9"/>
      <c r="F20" s="9"/>
      <c r="G20" s="9"/>
      <c r="H20" s="10"/>
      <c r="I20" s="10"/>
      <c r="J20" s="10"/>
      <c r="K20" s="10"/>
      <c r="L20" s="10"/>
      <c r="M20" s="10"/>
      <c r="N20" s="10"/>
      <c r="O20" s="10"/>
      <c r="P20" s="10"/>
      <c r="Q20" s="10"/>
      <c r="R20" s="10"/>
      <c r="S20" s="10"/>
      <c r="T20" s="10"/>
      <c r="U20" s="11"/>
      <c r="V20" s="33"/>
    </row>
    <row r="21" spans="1:22" ht="26.25" customHeight="1" thickTop="1">
      <c r="B21" s="34"/>
      <c r="C21" s="35"/>
      <c r="D21" s="35"/>
      <c r="E21" s="35"/>
      <c r="F21" s="35"/>
      <c r="G21" s="35"/>
      <c r="H21" s="36"/>
      <c r="I21" s="36"/>
      <c r="J21" s="36"/>
      <c r="K21" s="36"/>
      <c r="L21" s="36"/>
      <c r="M21" s="36"/>
      <c r="N21" s="36"/>
      <c r="O21" s="36"/>
      <c r="P21" s="37"/>
      <c r="Q21" s="38"/>
      <c r="R21" s="39" t="s">
        <v>99</v>
      </c>
      <c r="S21" s="22" t="s">
        <v>100</v>
      </c>
      <c r="T21" s="39" t="s">
        <v>101</v>
      </c>
      <c r="U21" s="22" t="s">
        <v>102</v>
      </c>
    </row>
    <row r="22" spans="1:22" ht="26.25" customHeight="1" thickBot="1">
      <c r="B22" s="40"/>
      <c r="C22" s="41"/>
      <c r="D22" s="41"/>
      <c r="E22" s="41"/>
      <c r="F22" s="41"/>
      <c r="G22" s="41"/>
      <c r="H22" s="42"/>
      <c r="I22" s="42"/>
      <c r="J22" s="42"/>
      <c r="K22" s="42"/>
      <c r="L22" s="42"/>
      <c r="M22" s="42"/>
      <c r="N22" s="42"/>
      <c r="O22" s="42"/>
      <c r="P22" s="43"/>
      <c r="Q22" s="44"/>
      <c r="R22" s="45" t="s">
        <v>103</v>
      </c>
      <c r="S22" s="44" t="s">
        <v>103</v>
      </c>
      <c r="T22" s="44" t="s">
        <v>103</v>
      </c>
      <c r="U22" s="44" t="s">
        <v>104</v>
      </c>
    </row>
    <row r="23" spans="1:22" ht="13.5" customHeight="1" thickBot="1">
      <c r="B23" s="65" t="s">
        <v>105</v>
      </c>
      <c r="C23" s="66"/>
      <c r="D23" s="66"/>
      <c r="E23" s="46"/>
      <c r="F23" s="46"/>
      <c r="G23" s="46"/>
      <c r="H23" s="47"/>
      <c r="I23" s="47"/>
      <c r="J23" s="47"/>
      <c r="K23" s="47"/>
      <c r="L23" s="47"/>
      <c r="M23" s="47"/>
      <c r="N23" s="47"/>
      <c r="O23" s="47"/>
      <c r="P23" s="48"/>
      <c r="Q23" s="48"/>
      <c r="R23" s="49">
        <f>6122.728558</f>
        <v>6122.7285579999998</v>
      </c>
      <c r="S23" s="49">
        <f>4235.233341</f>
        <v>4235.2333410000001</v>
      </c>
      <c r="T23" s="49">
        <f>4041.29338728</f>
        <v>4041.2933872799999</v>
      </c>
      <c r="U23" s="50">
        <f>+IF(ISERR(T23/S23*100),"N/A",T23/S23*100)</f>
        <v>95.420796492072185</v>
      </c>
    </row>
    <row r="24" spans="1:22" ht="13.5" customHeight="1" thickBot="1">
      <c r="B24" s="67" t="s">
        <v>106</v>
      </c>
      <c r="C24" s="68"/>
      <c r="D24" s="68"/>
      <c r="E24" s="51"/>
      <c r="F24" s="51"/>
      <c r="G24" s="51"/>
      <c r="H24" s="52"/>
      <c r="I24" s="52"/>
      <c r="J24" s="52"/>
      <c r="K24" s="52"/>
      <c r="L24" s="52"/>
      <c r="M24" s="52"/>
      <c r="N24" s="52"/>
      <c r="O24" s="52"/>
      <c r="P24" s="53"/>
      <c r="Q24" s="53"/>
      <c r="R24" s="49">
        <f>5786.661621</f>
        <v>5786.6616210000002</v>
      </c>
      <c r="S24" s="49">
        <f>4080.364864</f>
        <v>4080.3648640000001</v>
      </c>
      <c r="T24" s="49">
        <f>4041.29338728</f>
        <v>4041.2933872799999</v>
      </c>
      <c r="U24" s="50">
        <f>+IF(ISERR(T24/S24*100),"N/A",T24/S24*100)</f>
        <v>99.04245139779735</v>
      </c>
    </row>
    <row r="25" spans="1:22" ht="14.85" customHeight="1" thickTop="1" thickBot="1">
      <c r="B25" s="8" t="s">
        <v>107</v>
      </c>
      <c r="C25" s="9"/>
      <c r="D25" s="9"/>
      <c r="E25" s="9"/>
      <c r="F25" s="9"/>
      <c r="G25" s="9"/>
      <c r="H25" s="10"/>
      <c r="I25" s="10"/>
      <c r="J25" s="10"/>
      <c r="K25" s="10"/>
      <c r="L25" s="10"/>
      <c r="M25" s="10"/>
      <c r="N25" s="10"/>
      <c r="O25" s="10"/>
      <c r="P25" s="10"/>
      <c r="Q25" s="10"/>
      <c r="R25" s="10"/>
      <c r="S25" s="10"/>
      <c r="T25" s="10"/>
      <c r="U25" s="11"/>
    </row>
    <row r="26" spans="1:22" ht="44.25" customHeight="1" thickTop="1">
      <c r="B26" s="69" t="s">
        <v>108</v>
      </c>
      <c r="C26" s="70"/>
      <c r="D26" s="70"/>
      <c r="E26" s="70"/>
      <c r="F26" s="70"/>
      <c r="G26" s="70"/>
      <c r="H26" s="70"/>
      <c r="I26" s="70"/>
      <c r="J26" s="70"/>
      <c r="K26" s="70"/>
      <c r="L26" s="70"/>
      <c r="M26" s="70"/>
      <c r="N26" s="70"/>
      <c r="O26" s="70"/>
      <c r="P26" s="70"/>
      <c r="Q26" s="70"/>
      <c r="R26" s="70"/>
      <c r="S26" s="70"/>
      <c r="T26" s="70"/>
      <c r="U26" s="71"/>
    </row>
    <row r="27" spans="1:22" ht="34.5" customHeight="1">
      <c r="B27" s="59" t="s">
        <v>262</v>
      </c>
      <c r="C27" s="60"/>
      <c r="D27" s="60"/>
      <c r="E27" s="60"/>
      <c r="F27" s="60"/>
      <c r="G27" s="60"/>
      <c r="H27" s="60"/>
      <c r="I27" s="60"/>
      <c r="J27" s="60"/>
      <c r="K27" s="60"/>
      <c r="L27" s="60"/>
      <c r="M27" s="60"/>
      <c r="N27" s="60"/>
      <c r="O27" s="60"/>
      <c r="P27" s="60"/>
      <c r="Q27" s="60"/>
      <c r="R27" s="60"/>
      <c r="S27" s="60"/>
      <c r="T27" s="60"/>
      <c r="U27" s="61"/>
    </row>
    <row r="28" spans="1:22" ht="52.5" customHeight="1">
      <c r="B28" s="59" t="s">
        <v>263</v>
      </c>
      <c r="C28" s="60"/>
      <c r="D28" s="60"/>
      <c r="E28" s="60"/>
      <c r="F28" s="60"/>
      <c r="G28" s="60"/>
      <c r="H28" s="60"/>
      <c r="I28" s="60"/>
      <c r="J28" s="60"/>
      <c r="K28" s="60"/>
      <c r="L28" s="60"/>
      <c r="M28" s="60"/>
      <c r="N28" s="60"/>
      <c r="O28" s="60"/>
      <c r="P28" s="60"/>
      <c r="Q28" s="60"/>
      <c r="R28" s="60"/>
      <c r="S28" s="60"/>
      <c r="T28" s="60"/>
      <c r="U28" s="61"/>
    </row>
    <row r="29" spans="1:22" ht="60.75" customHeight="1">
      <c r="B29" s="59" t="s">
        <v>264</v>
      </c>
      <c r="C29" s="60"/>
      <c r="D29" s="60"/>
      <c r="E29" s="60"/>
      <c r="F29" s="60"/>
      <c r="G29" s="60"/>
      <c r="H29" s="60"/>
      <c r="I29" s="60"/>
      <c r="J29" s="60"/>
      <c r="K29" s="60"/>
      <c r="L29" s="60"/>
      <c r="M29" s="60"/>
      <c r="N29" s="60"/>
      <c r="O29" s="60"/>
      <c r="P29" s="60"/>
      <c r="Q29" s="60"/>
      <c r="R29" s="60"/>
      <c r="S29" s="60"/>
      <c r="T29" s="60"/>
      <c r="U29" s="61"/>
    </row>
    <row r="30" spans="1:22" ht="61.5" customHeight="1">
      <c r="B30" s="59" t="s">
        <v>265</v>
      </c>
      <c r="C30" s="60"/>
      <c r="D30" s="60"/>
      <c r="E30" s="60"/>
      <c r="F30" s="60"/>
      <c r="G30" s="60"/>
      <c r="H30" s="60"/>
      <c r="I30" s="60"/>
      <c r="J30" s="60"/>
      <c r="K30" s="60"/>
      <c r="L30" s="60"/>
      <c r="M30" s="60"/>
      <c r="N30" s="60"/>
      <c r="O30" s="60"/>
      <c r="P30" s="60"/>
      <c r="Q30" s="60"/>
      <c r="R30" s="60"/>
      <c r="S30" s="60"/>
      <c r="T30" s="60"/>
      <c r="U30" s="61"/>
    </row>
    <row r="31" spans="1:22" ht="121.5" customHeight="1">
      <c r="B31" s="59" t="s">
        <v>266</v>
      </c>
      <c r="C31" s="60"/>
      <c r="D31" s="60"/>
      <c r="E31" s="60"/>
      <c r="F31" s="60"/>
      <c r="G31" s="60"/>
      <c r="H31" s="60"/>
      <c r="I31" s="60"/>
      <c r="J31" s="60"/>
      <c r="K31" s="60"/>
      <c r="L31" s="60"/>
      <c r="M31" s="60"/>
      <c r="N31" s="60"/>
      <c r="O31" s="60"/>
      <c r="P31" s="60"/>
      <c r="Q31" s="60"/>
      <c r="R31" s="60"/>
      <c r="S31" s="60"/>
      <c r="T31" s="60"/>
      <c r="U31" s="61"/>
    </row>
    <row r="32" spans="1:22" ht="59.25" customHeight="1">
      <c r="B32" s="59" t="s">
        <v>267</v>
      </c>
      <c r="C32" s="60"/>
      <c r="D32" s="60"/>
      <c r="E32" s="60"/>
      <c r="F32" s="60"/>
      <c r="G32" s="60"/>
      <c r="H32" s="60"/>
      <c r="I32" s="60"/>
      <c r="J32" s="60"/>
      <c r="K32" s="60"/>
      <c r="L32" s="60"/>
      <c r="M32" s="60"/>
      <c r="N32" s="60"/>
      <c r="O32" s="60"/>
      <c r="P32" s="60"/>
      <c r="Q32" s="60"/>
      <c r="R32" s="60"/>
      <c r="S32" s="60"/>
      <c r="T32" s="60"/>
      <c r="U32" s="61"/>
    </row>
    <row r="33" spans="2:21" ht="99.2" customHeight="1">
      <c r="B33" s="59" t="s">
        <v>268</v>
      </c>
      <c r="C33" s="60"/>
      <c r="D33" s="60"/>
      <c r="E33" s="60"/>
      <c r="F33" s="60"/>
      <c r="G33" s="60"/>
      <c r="H33" s="60"/>
      <c r="I33" s="60"/>
      <c r="J33" s="60"/>
      <c r="K33" s="60"/>
      <c r="L33" s="60"/>
      <c r="M33" s="60"/>
      <c r="N33" s="60"/>
      <c r="O33" s="60"/>
      <c r="P33" s="60"/>
      <c r="Q33" s="60"/>
      <c r="R33" s="60"/>
      <c r="S33" s="60"/>
      <c r="T33" s="60"/>
      <c r="U33" s="61"/>
    </row>
    <row r="34" spans="2:21" ht="61.7" customHeight="1">
      <c r="B34" s="59" t="s">
        <v>269</v>
      </c>
      <c r="C34" s="60"/>
      <c r="D34" s="60"/>
      <c r="E34" s="60"/>
      <c r="F34" s="60"/>
      <c r="G34" s="60"/>
      <c r="H34" s="60"/>
      <c r="I34" s="60"/>
      <c r="J34" s="60"/>
      <c r="K34" s="60"/>
      <c r="L34" s="60"/>
      <c r="M34" s="60"/>
      <c r="N34" s="60"/>
      <c r="O34" s="60"/>
      <c r="P34" s="60"/>
      <c r="Q34" s="60"/>
      <c r="R34" s="60"/>
      <c r="S34" s="60"/>
      <c r="T34" s="60"/>
      <c r="U34" s="61"/>
    </row>
    <row r="35" spans="2:21" ht="75.599999999999994" customHeight="1" thickBot="1">
      <c r="B35" s="62" t="s">
        <v>270</v>
      </c>
      <c r="C35" s="63"/>
      <c r="D35" s="63"/>
      <c r="E35" s="63"/>
      <c r="F35" s="63"/>
      <c r="G35" s="63"/>
      <c r="H35" s="63"/>
      <c r="I35" s="63"/>
      <c r="J35" s="63"/>
      <c r="K35" s="63"/>
      <c r="L35" s="63"/>
      <c r="M35" s="63"/>
      <c r="N35" s="63"/>
      <c r="O35" s="63"/>
      <c r="P35" s="63"/>
      <c r="Q35" s="63"/>
      <c r="R35" s="63"/>
      <c r="S35" s="63"/>
      <c r="T35" s="63"/>
      <c r="U35" s="64"/>
    </row>
  </sheetData>
  <mergeCells count="6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B35:U35"/>
    <mergeCell ref="B23:D23"/>
    <mergeCell ref="B24:D24"/>
    <mergeCell ref="B26:U26"/>
    <mergeCell ref="B27:U27"/>
    <mergeCell ref="B28:U28"/>
    <mergeCell ref="B29:U29"/>
    <mergeCell ref="B30:U30"/>
    <mergeCell ref="B31:U31"/>
    <mergeCell ref="B32:U32"/>
    <mergeCell ref="B33:U33"/>
    <mergeCell ref="B34:U34"/>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I6" sqref="I6"/>
    </sheetView>
  </sheetViews>
  <sheetFormatPr baseColWidth="10" defaultColWidth="10" defaultRowHeight="12.75"/>
  <cols>
    <col min="1" max="1" width="3.42578125" style="1" customWidth="1"/>
    <col min="2" max="2" width="13.7109375" style="1" customWidth="1"/>
    <col min="3" max="3" width="5.85546875" style="1" customWidth="1"/>
    <col min="4" max="4" width="8.5703125" style="1" customWidth="1"/>
    <col min="5" max="5" width="9.7109375" style="1" customWidth="1"/>
    <col min="6" max="6" width="4.42578125" style="1" customWidth="1"/>
    <col min="7" max="7" width="0.28515625" style="1" customWidth="1"/>
    <col min="8" max="8" width="2.28515625" style="1" customWidth="1"/>
    <col min="9" max="9" width="6.5703125" style="1" customWidth="1"/>
    <col min="10" max="10" width="7.85546875" style="1" customWidth="1"/>
    <col min="11" max="11" width="9.42578125" style="1" customWidth="1"/>
    <col min="12" max="12" width="7.7109375" style="1" customWidth="1"/>
    <col min="13" max="13" width="6.140625" style="1" customWidth="1"/>
    <col min="14" max="14" width="8.28515625" style="1" customWidth="1"/>
    <col min="15" max="15" width="11.140625" style="1" customWidth="1"/>
    <col min="16" max="16" width="11.5703125" style="1" customWidth="1"/>
    <col min="17" max="17" width="12.140625" style="1" customWidth="1"/>
    <col min="18" max="18" width="9" style="1" customWidth="1"/>
    <col min="19" max="19" width="13" style="1" customWidth="1"/>
    <col min="20" max="20" width="10.7109375" style="1" customWidth="1"/>
    <col min="21" max="21" width="10.42578125" style="1" customWidth="1"/>
    <col min="22" max="22" width="11.42578125" style="1" customWidth="1"/>
    <col min="23" max="23" width="10.7109375" style="1" customWidth="1"/>
    <col min="24" max="24" width="8.42578125" style="1" customWidth="1"/>
    <col min="25" max="25" width="8.7109375" style="1" customWidth="1"/>
    <col min="26" max="26" width="9.5703125" style="1" customWidth="1"/>
    <col min="27" max="29" width="10" style="1"/>
    <col min="30" max="30" width="15.42578125" style="1" customWidth="1"/>
    <col min="31" max="16384" width="10" style="1"/>
  </cols>
  <sheetData>
    <row r="1" spans="1:34" s="2" customFormat="1" ht="48" customHeight="1">
      <c r="A1" s="3"/>
      <c r="B1" s="98" t="s">
        <v>583</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271</v>
      </c>
      <c r="D4" s="99" t="s">
        <v>272</v>
      </c>
      <c r="E4" s="99"/>
      <c r="F4" s="99"/>
      <c r="G4" s="99"/>
      <c r="H4" s="99"/>
      <c r="I4" s="14"/>
      <c r="J4" s="15" t="s">
        <v>9</v>
      </c>
      <c r="K4" s="16" t="s">
        <v>10</v>
      </c>
      <c r="L4" s="100" t="s">
        <v>1</v>
      </c>
      <c r="M4" s="100"/>
      <c r="N4" s="100"/>
      <c r="O4" s="100"/>
      <c r="P4" s="15" t="s">
        <v>11</v>
      </c>
      <c r="Q4" s="100" t="s">
        <v>12</v>
      </c>
      <c r="R4" s="100"/>
      <c r="S4" s="15" t="s">
        <v>13</v>
      </c>
      <c r="T4" s="100" t="s">
        <v>190</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v>
      </c>
      <c r="D6" s="80"/>
      <c r="E6" s="80"/>
      <c r="F6" s="80"/>
      <c r="G6" s="80"/>
      <c r="H6" s="18"/>
      <c r="I6" s="18"/>
      <c r="J6" s="18" t="s">
        <v>18</v>
      </c>
      <c r="K6" s="80" t="s">
        <v>273</v>
      </c>
      <c r="L6" s="80"/>
      <c r="M6" s="80"/>
      <c r="N6" s="19"/>
      <c r="O6" s="20" t="s">
        <v>20</v>
      </c>
      <c r="P6" s="80" t="s">
        <v>274</v>
      </c>
      <c r="Q6" s="80"/>
      <c r="R6" s="21"/>
      <c r="S6" s="20" t="s">
        <v>22</v>
      </c>
      <c r="T6" s="80" t="s">
        <v>275</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c r="A11" s="25"/>
      <c r="B11" s="26" t="s">
        <v>38</v>
      </c>
      <c r="C11" s="73" t="s">
        <v>276</v>
      </c>
      <c r="D11" s="73"/>
      <c r="E11" s="73"/>
      <c r="F11" s="73"/>
      <c r="G11" s="73"/>
      <c r="H11" s="73"/>
      <c r="I11" s="73" t="s">
        <v>277</v>
      </c>
      <c r="J11" s="73"/>
      <c r="K11" s="73"/>
      <c r="L11" s="73" t="s">
        <v>278</v>
      </c>
      <c r="M11" s="73"/>
      <c r="N11" s="73"/>
      <c r="O11" s="73"/>
      <c r="P11" s="27" t="s">
        <v>47</v>
      </c>
      <c r="Q11" s="27" t="s">
        <v>43</v>
      </c>
      <c r="R11" s="27">
        <v>65.33</v>
      </c>
      <c r="S11" s="27">
        <v>65.33</v>
      </c>
      <c r="T11" s="27">
        <v>67.680000000000007</v>
      </c>
      <c r="U11" s="28">
        <f t="shared" ref="U11:U19" si="0">IF(ISERR(T11/S11*100),"N/A",T11/S11*100)</f>
        <v>103.5971223021583</v>
      </c>
    </row>
    <row r="12" spans="1:34" ht="75" customHeight="1" thickBot="1">
      <c r="A12" s="25"/>
      <c r="B12" s="29" t="s">
        <v>44</v>
      </c>
      <c r="C12" s="72" t="s">
        <v>44</v>
      </c>
      <c r="D12" s="72"/>
      <c r="E12" s="72"/>
      <c r="F12" s="72"/>
      <c r="G12" s="72"/>
      <c r="H12" s="72"/>
      <c r="I12" s="72" t="s">
        <v>279</v>
      </c>
      <c r="J12" s="72"/>
      <c r="K12" s="72"/>
      <c r="L12" s="72" t="s">
        <v>280</v>
      </c>
      <c r="M12" s="72"/>
      <c r="N12" s="72"/>
      <c r="O12" s="72"/>
      <c r="P12" s="30" t="s">
        <v>135</v>
      </c>
      <c r="Q12" s="30" t="s">
        <v>43</v>
      </c>
      <c r="R12" s="30">
        <v>48</v>
      </c>
      <c r="S12" s="30" t="s">
        <v>49</v>
      </c>
      <c r="T12" s="30">
        <v>42.9</v>
      </c>
      <c r="U12" s="32" t="str">
        <f t="shared" si="0"/>
        <v>N/A</v>
      </c>
    </row>
    <row r="13" spans="1:34" ht="75" customHeight="1" thickTop="1">
      <c r="A13" s="25"/>
      <c r="B13" s="26" t="s">
        <v>62</v>
      </c>
      <c r="C13" s="73" t="s">
        <v>281</v>
      </c>
      <c r="D13" s="73"/>
      <c r="E13" s="73"/>
      <c r="F13" s="73"/>
      <c r="G13" s="73"/>
      <c r="H13" s="73"/>
      <c r="I13" s="73" t="s">
        <v>282</v>
      </c>
      <c r="J13" s="73"/>
      <c r="K13" s="73"/>
      <c r="L13" s="73" t="s">
        <v>283</v>
      </c>
      <c r="M13" s="73"/>
      <c r="N13" s="73"/>
      <c r="O13" s="73"/>
      <c r="P13" s="27" t="s">
        <v>47</v>
      </c>
      <c r="Q13" s="27" t="s">
        <v>284</v>
      </c>
      <c r="R13" s="27">
        <v>1.85</v>
      </c>
      <c r="S13" s="27">
        <v>1.85</v>
      </c>
      <c r="T13" s="27">
        <v>6.53</v>
      </c>
      <c r="U13" s="28">
        <f t="shared" si="0"/>
        <v>352.97297297297297</v>
      </c>
    </row>
    <row r="14" spans="1:34" ht="75" customHeight="1" thickBot="1">
      <c r="A14" s="25"/>
      <c r="B14" s="29" t="s">
        <v>44</v>
      </c>
      <c r="C14" s="72" t="s">
        <v>44</v>
      </c>
      <c r="D14" s="72"/>
      <c r="E14" s="72"/>
      <c r="F14" s="72"/>
      <c r="G14" s="72"/>
      <c r="H14" s="72"/>
      <c r="I14" s="72" t="s">
        <v>285</v>
      </c>
      <c r="J14" s="72"/>
      <c r="K14" s="72"/>
      <c r="L14" s="72" t="s">
        <v>286</v>
      </c>
      <c r="M14" s="72"/>
      <c r="N14" s="72"/>
      <c r="O14" s="72"/>
      <c r="P14" s="30" t="s">
        <v>287</v>
      </c>
      <c r="Q14" s="30" t="s">
        <v>43</v>
      </c>
      <c r="R14" s="30">
        <v>7.37</v>
      </c>
      <c r="S14" s="30">
        <v>7.37</v>
      </c>
      <c r="T14" s="30">
        <v>7.35</v>
      </c>
      <c r="U14" s="32">
        <f t="shared" si="0"/>
        <v>99.728629579375834</v>
      </c>
    </row>
    <row r="15" spans="1:34" ht="75" customHeight="1" thickTop="1">
      <c r="A15" s="25"/>
      <c r="B15" s="26" t="s">
        <v>71</v>
      </c>
      <c r="C15" s="73" t="s">
        <v>288</v>
      </c>
      <c r="D15" s="73"/>
      <c r="E15" s="73"/>
      <c r="F15" s="73"/>
      <c r="G15" s="73"/>
      <c r="H15" s="73"/>
      <c r="I15" s="73" t="s">
        <v>289</v>
      </c>
      <c r="J15" s="73"/>
      <c r="K15" s="73"/>
      <c r="L15" s="73" t="s">
        <v>290</v>
      </c>
      <c r="M15" s="73"/>
      <c r="N15" s="73"/>
      <c r="O15" s="73"/>
      <c r="P15" s="27" t="s">
        <v>47</v>
      </c>
      <c r="Q15" s="27" t="s">
        <v>291</v>
      </c>
      <c r="R15" s="27">
        <v>66.010000000000005</v>
      </c>
      <c r="S15" s="27">
        <v>66.010000000000005</v>
      </c>
      <c r="T15" s="27">
        <v>68.17</v>
      </c>
      <c r="U15" s="28">
        <f t="shared" si="0"/>
        <v>103.27223148007877</v>
      </c>
    </row>
    <row r="16" spans="1:34" ht="75" customHeight="1" thickBot="1">
      <c r="A16" s="25"/>
      <c r="B16" s="29" t="s">
        <v>44</v>
      </c>
      <c r="C16" s="72" t="s">
        <v>292</v>
      </c>
      <c r="D16" s="72"/>
      <c r="E16" s="72"/>
      <c r="F16" s="72"/>
      <c r="G16" s="72"/>
      <c r="H16" s="72"/>
      <c r="I16" s="72" t="s">
        <v>293</v>
      </c>
      <c r="J16" s="72"/>
      <c r="K16" s="72"/>
      <c r="L16" s="72" t="s">
        <v>294</v>
      </c>
      <c r="M16" s="72"/>
      <c r="N16" s="72"/>
      <c r="O16" s="72"/>
      <c r="P16" s="30" t="s">
        <v>47</v>
      </c>
      <c r="Q16" s="30" t="s">
        <v>291</v>
      </c>
      <c r="R16" s="30">
        <v>23.44</v>
      </c>
      <c r="S16" s="30">
        <v>23.44</v>
      </c>
      <c r="T16" s="30">
        <v>24.82</v>
      </c>
      <c r="U16" s="32">
        <f t="shared" si="0"/>
        <v>105.88737201365188</v>
      </c>
    </row>
    <row r="17" spans="1:22" ht="75" customHeight="1" thickTop="1">
      <c r="A17" s="25"/>
      <c r="B17" s="26" t="s">
        <v>87</v>
      </c>
      <c r="C17" s="73" t="s">
        <v>295</v>
      </c>
      <c r="D17" s="73"/>
      <c r="E17" s="73"/>
      <c r="F17" s="73"/>
      <c r="G17" s="73"/>
      <c r="H17" s="73"/>
      <c r="I17" s="73" t="s">
        <v>296</v>
      </c>
      <c r="J17" s="73"/>
      <c r="K17" s="73"/>
      <c r="L17" s="73" t="s">
        <v>297</v>
      </c>
      <c r="M17" s="73"/>
      <c r="N17" s="73"/>
      <c r="O17" s="73"/>
      <c r="P17" s="27" t="s">
        <v>47</v>
      </c>
      <c r="Q17" s="27" t="s">
        <v>91</v>
      </c>
      <c r="R17" s="27">
        <v>92</v>
      </c>
      <c r="S17" s="27">
        <v>92</v>
      </c>
      <c r="T17" s="27">
        <v>94.22</v>
      </c>
      <c r="U17" s="28">
        <f t="shared" si="0"/>
        <v>102.41304347826087</v>
      </c>
    </row>
    <row r="18" spans="1:22" ht="75" customHeight="1">
      <c r="A18" s="25"/>
      <c r="B18" s="29" t="s">
        <v>44</v>
      </c>
      <c r="C18" s="72" t="s">
        <v>298</v>
      </c>
      <c r="D18" s="72"/>
      <c r="E18" s="72"/>
      <c r="F18" s="72"/>
      <c r="G18" s="72"/>
      <c r="H18" s="72"/>
      <c r="I18" s="72" t="s">
        <v>299</v>
      </c>
      <c r="J18" s="72"/>
      <c r="K18" s="72"/>
      <c r="L18" s="72" t="s">
        <v>300</v>
      </c>
      <c r="M18" s="72"/>
      <c r="N18" s="72"/>
      <c r="O18" s="72"/>
      <c r="P18" s="30" t="s">
        <v>47</v>
      </c>
      <c r="Q18" s="30" t="s">
        <v>301</v>
      </c>
      <c r="R18" s="30">
        <v>95</v>
      </c>
      <c r="S18" s="30">
        <v>95</v>
      </c>
      <c r="T18" s="30">
        <v>98.37</v>
      </c>
      <c r="U18" s="32">
        <f t="shared" si="0"/>
        <v>103.54736842105264</v>
      </c>
    </row>
    <row r="19" spans="1:22" ht="75" customHeight="1" thickBot="1">
      <c r="A19" s="25"/>
      <c r="B19" s="29" t="s">
        <v>44</v>
      </c>
      <c r="C19" s="72" t="s">
        <v>302</v>
      </c>
      <c r="D19" s="72"/>
      <c r="E19" s="72"/>
      <c r="F19" s="72"/>
      <c r="G19" s="72"/>
      <c r="H19" s="72"/>
      <c r="I19" s="72" t="s">
        <v>303</v>
      </c>
      <c r="J19" s="72"/>
      <c r="K19" s="72"/>
      <c r="L19" s="72" t="s">
        <v>304</v>
      </c>
      <c r="M19" s="72"/>
      <c r="N19" s="72"/>
      <c r="O19" s="72"/>
      <c r="P19" s="30" t="s">
        <v>47</v>
      </c>
      <c r="Q19" s="30" t="s">
        <v>291</v>
      </c>
      <c r="R19" s="30">
        <v>82.5</v>
      </c>
      <c r="S19" s="30">
        <v>82.5</v>
      </c>
      <c r="T19" s="30">
        <v>76.900000000000006</v>
      </c>
      <c r="U19" s="32">
        <f t="shared" si="0"/>
        <v>93.212121212121218</v>
      </c>
    </row>
    <row r="20" spans="1:22" ht="22.5" customHeight="1" thickTop="1" thickBot="1">
      <c r="B20" s="8" t="s">
        <v>98</v>
      </c>
      <c r="C20" s="9"/>
      <c r="D20" s="9"/>
      <c r="E20" s="9"/>
      <c r="F20" s="9"/>
      <c r="G20" s="9"/>
      <c r="H20" s="10"/>
      <c r="I20" s="10"/>
      <c r="J20" s="10"/>
      <c r="K20" s="10"/>
      <c r="L20" s="10"/>
      <c r="M20" s="10"/>
      <c r="N20" s="10"/>
      <c r="O20" s="10"/>
      <c r="P20" s="10"/>
      <c r="Q20" s="10"/>
      <c r="R20" s="10"/>
      <c r="S20" s="10"/>
      <c r="T20" s="10"/>
      <c r="U20" s="11"/>
      <c r="V20" s="33"/>
    </row>
    <row r="21" spans="1:22" ht="26.25" customHeight="1" thickTop="1">
      <c r="B21" s="34"/>
      <c r="C21" s="35"/>
      <c r="D21" s="35"/>
      <c r="E21" s="35"/>
      <c r="F21" s="35"/>
      <c r="G21" s="35"/>
      <c r="H21" s="36"/>
      <c r="I21" s="36"/>
      <c r="J21" s="36"/>
      <c r="K21" s="36"/>
      <c r="L21" s="36"/>
      <c r="M21" s="36"/>
      <c r="N21" s="36"/>
      <c r="O21" s="36"/>
      <c r="P21" s="37"/>
      <c r="Q21" s="38"/>
      <c r="R21" s="39" t="s">
        <v>99</v>
      </c>
      <c r="S21" s="22" t="s">
        <v>100</v>
      </c>
      <c r="T21" s="39" t="s">
        <v>101</v>
      </c>
      <c r="U21" s="22" t="s">
        <v>102</v>
      </c>
    </row>
    <row r="22" spans="1:22" ht="26.25" customHeight="1" thickBot="1">
      <c r="B22" s="40"/>
      <c r="C22" s="41"/>
      <c r="D22" s="41"/>
      <c r="E22" s="41"/>
      <c r="F22" s="41"/>
      <c r="G22" s="41"/>
      <c r="H22" s="42"/>
      <c r="I22" s="42"/>
      <c r="J22" s="42"/>
      <c r="K22" s="42"/>
      <c r="L22" s="42"/>
      <c r="M22" s="42"/>
      <c r="N22" s="42"/>
      <c r="O22" s="42"/>
      <c r="P22" s="43"/>
      <c r="Q22" s="44"/>
      <c r="R22" s="45" t="s">
        <v>103</v>
      </c>
      <c r="S22" s="44" t="s">
        <v>103</v>
      </c>
      <c r="T22" s="44" t="s">
        <v>103</v>
      </c>
      <c r="U22" s="44" t="s">
        <v>104</v>
      </c>
    </row>
    <row r="23" spans="1:22" ht="13.5" customHeight="1" thickBot="1">
      <c r="B23" s="65" t="s">
        <v>105</v>
      </c>
      <c r="C23" s="66"/>
      <c r="D23" s="66"/>
      <c r="E23" s="46"/>
      <c r="F23" s="46"/>
      <c r="G23" s="46"/>
      <c r="H23" s="47"/>
      <c r="I23" s="47"/>
      <c r="J23" s="47"/>
      <c r="K23" s="47"/>
      <c r="L23" s="47"/>
      <c r="M23" s="47"/>
      <c r="N23" s="47"/>
      <c r="O23" s="47"/>
      <c r="P23" s="48"/>
      <c r="Q23" s="48"/>
      <c r="R23" s="49">
        <f>11908.219972</f>
        <v>11908.219972000001</v>
      </c>
      <c r="S23" s="49">
        <f>8522.280307</f>
        <v>8522.2803070000009</v>
      </c>
      <c r="T23" s="49">
        <f>7887.26215806</f>
        <v>7887.2621580599998</v>
      </c>
      <c r="U23" s="50">
        <f>+IF(ISERR(T23/S23*100),"N/A",T23/S23*100)</f>
        <v>92.548729611505365</v>
      </c>
    </row>
    <row r="24" spans="1:22" ht="13.5" customHeight="1" thickBot="1">
      <c r="B24" s="67" t="s">
        <v>106</v>
      </c>
      <c r="C24" s="68"/>
      <c r="D24" s="68"/>
      <c r="E24" s="51"/>
      <c r="F24" s="51"/>
      <c r="G24" s="51"/>
      <c r="H24" s="52"/>
      <c r="I24" s="52"/>
      <c r="J24" s="52"/>
      <c r="K24" s="52"/>
      <c r="L24" s="52"/>
      <c r="M24" s="52"/>
      <c r="N24" s="52"/>
      <c r="O24" s="52"/>
      <c r="P24" s="53"/>
      <c r="Q24" s="53"/>
      <c r="R24" s="49">
        <f>11139.371836</f>
        <v>11139.371836</v>
      </c>
      <c r="S24" s="49">
        <f>8065.540945</f>
        <v>8065.5409449999997</v>
      </c>
      <c r="T24" s="49">
        <f>7887.26215806</f>
        <v>7887.2621580599998</v>
      </c>
      <c r="U24" s="50">
        <f>+IF(ISERR(T24/S24*100),"N/A",T24/S24*100)</f>
        <v>97.789623930301673</v>
      </c>
    </row>
    <row r="25" spans="1:22" ht="14.85" customHeight="1" thickTop="1" thickBot="1">
      <c r="B25" s="8" t="s">
        <v>107</v>
      </c>
      <c r="C25" s="9"/>
      <c r="D25" s="9"/>
      <c r="E25" s="9"/>
      <c r="F25" s="9"/>
      <c r="G25" s="9"/>
      <c r="H25" s="10"/>
      <c r="I25" s="10"/>
      <c r="J25" s="10"/>
      <c r="K25" s="10"/>
      <c r="L25" s="10"/>
      <c r="M25" s="10"/>
      <c r="N25" s="10"/>
      <c r="O25" s="10"/>
      <c r="P25" s="10"/>
      <c r="Q25" s="10"/>
      <c r="R25" s="10"/>
      <c r="S25" s="10"/>
      <c r="T25" s="10"/>
      <c r="U25" s="11"/>
    </row>
    <row r="26" spans="1:22" ht="44.25" customHeight="1" thickTop="1">
      <c r="B26" s="69" t="s">
        <v>108</v>
      </c>
      <c r="C26" s="70"/>
      <c r="D26" s="70"/>
      <c r="E26" s="70"/>
      <c r="F26" s="70"/>
      <c r="G26" s="70"/>
      <c r="H26" s="70"/>
      <c r="I26" s="70"/>
      <c r="J26" s="70"/>
      <c r="K26" s="70"/>
      <c r="L26" s="70"/>
      <c r="M26" s="70"/>
      <c r="N26" s="70"/>
      <c r="O26" s="70"/>
      <c r="P26" s="70"/>
      <c r="Q26" s="70"/>
      <c r="R26" s="70"/>
      <c r="S26" s="70"/>
      <c r="T26" s="70"/>
      <c r="U26" s="71"/>
    </row>
    <row r="27" spans="1:22" ht="110.45" customHeight="1">
      <c r="B27" s="59" t="s">
        <v>305</v>
      </c>
      <c r="C27" s="60"/>
      <c r="D27" s="60"/>
      <c r="E27" s="60"/>
      <c r="F27" s="60"/>
      <c r="G27" s="60"/>
      <c r="H27" s="60"/>
      <c r="I27" s="60"/>
      <c r="J27" s="60"/>
      <c r="K27" s="60"/>
      <c r="L27" s="60"/>
      <c r="M27" s="60"/>
      <c r="N27" s="60"/>
      <c r="O27" s="60"/>
      <c r="P27" s="60"/>
      <c r="Q27" s="60"/>
      <c r="R27" s="60"/>
      <c r="S27" s="60"/>
      <c r="T27" s="60"/>
      <c r="U27" s="61"/>
    </row>
    <row r="28" spans="1:22" ht="34.5" customHeight="1">
      <c r="B28" s="59" t="s">
        <v>306</v>
      </c>
      <c r="C28" s="60"/>
      <c r="D28" s="60"/>
      <c r="E28" s="60"/>
      <c r="F28" s="60"/>
      <c r="G28" s="60"/>
      <c r="H28" s="60"/>
      <c r="I28" s="60"/>
      <c r="J28" s="60"/>
      <c r="K28" s="60"/>
      <c r="L28" s="60"/>
      <c r="M28" s="60"/>
      <c r="N28" s="60"/>
      <c r="O28" s="60"/>
      <c r="P28" s="60"/>
      <c r="Q28" s="60"/>
      <c r="R28" s="60"/>
      <c r="S28" s="60"/>
      <c r="T28" s="60"/>
      <c r="U28" s="61"/>
    </row>
    <row r="29" spans="1:22" ht="122.1" customHeight="1">
      <c r="B29" s="59" t="s">
        <v>307</v>
      </c>
      <c r="C29" s="60"/>
      <c r="D29" s="60"/>
      <c r="E29" s="60"/>
      <c r="F29" s="60"/>
      <c r="G29" s="60"/>
      <c r="H29" s="60"/>
      <c r="I29" s="60"/>
      <c r="J29" s="60"/>
      <c r="K29" s="60"/>
      <c r="L29" s="60"/>
      <c r="M29" s="60"/>
      <c r="N29" s="60"/>
      <c r="O29" s="60"/>
      <c r="P29" s="60"/>
      <c r="Q29" s="60"/>
      <c r="R29" s="60"/>
      <c r="S29" s="60"/>
      <c r="T29" s="60"/>
      <c r="U29" s="61"/>
    </row>
    <row r="30" spans="1:22" ht="138" customHeight="1">
      <c r="B30" s="59" t="s">
        <v>308</v>
      </c>
      <c r="C30" s="60"/>
      <c r="D30" s="60"/>
      <c r="E30" s="60"/>
      <c r="F30" s="60"/>
      <c r="G30" s="60"/>
      <c r="H30" s="60"/>
      <c r="I30" s="60"/>
      <c r="J30" s="60"/>
      <c r="K30" s="60"/>
      <c r="L30" s="60"/>
      <c r="M30" s="60"/>
      <c r="N30" s="60"/>
      <c r="O30" s="60"/>
      <c r="P30" s="60"/>
      <c r="Q30" s="60"/>
      <c r="R30" s="60"/>
      <c r="S30" s="60"/>
      <c r="T30" s="60"/>
      <c r="U30" s="61"/>
    </row>
    <row r="31" spans="1:22" ht="55.7" customHeight="1">
      <c r="B31" s="59" t="s">
        <v>309</v>
      </c>
      <c r="C31" s="60"/>
      <c r="D31" s="60"/>
      <c r="E31" s="60"/>
      <c r="F31" s="60"/>
      <c r="G31" s="60"/>
      <c r="H31" s="60"/>
      <c r="I31" s="60"/>
      <c r="J31" s="60"/>
      <c r="K31" s="60"/>
      <c r="L31" s="60"/>
      <c r="M31" s="60"/>
      <c r="N31" s="60"/>
      <c r="O31" s="60"/>
      <c r="P31" s="60"/>
      <c r="Q31" s="60"/>
      <c r="R31" s="60"/>
      <c r="S31" s="60"/>
      <c r="T31" s="60"/>
      <c r="U31" s="61"/>
    </row>
    <row r="32" spans="1:22" ht="71.099999999999994" customHeight="1">
      <c r="B32" s="59" t="s">
        <v>310</v>
      </c>
      <c r="C32" s="60"/>
      <c r="D32" s="60"/>
      <c r="E32" s="60"/>
      <c r="F32" s="60"/>
      <c r="G32" s="60"/>
      <c r="H32" s="60"/>
      <c r="I32" s="60"/>
      <c r="J32" s="60"/>
      <c r="K32" s="60"/>
      <c r="L32" s="60"/>
      <c r="M32" s="60"/>
      <c r="N32" s="60"/>
      <c r="O32" s="60"/>
      <c r="P32" s="60"/>
      <c r="Q32" s="60"/>
      <c r="R32" s="60"/>
      <c r="S32" s="60"/>
      <c r="T32" s="60"/>
      <c r="U32" s="61"/>
    </row>
    <row r="33" spans="2:21" ht="37.700000000000003" customHeight="1">
      <c r="B33" s="59" t="s">
        <v>311</v>
      </c>
      <c r="C33" s="60"/>
      <c r="D33" s="60"/>
      <c r="E33" s="60"/>
      <c r="F33" s="60"/>
      <c r="G33" s="60"/>
      <c r="H33" s="60"/>
      <c r="I33" s="60"/>
      <c r="J33" s="60"/>
      <c r="K33" s="60"/>
      <c r="L33" s="60"/>
      <c r="M33" s="60"/>
      <c r="N33" s="60"/>
      <c r="O33" s="60"/>
      <c r="P33" s="60"/>
      <c r="Q33" s="60"/>
      <c r="R33" s="60"/>
      <c r="S33" s="60"/>
      <c r="T33" s="60"/>
      <c r="U33" s="61"/>
    </row>
    <row r="34" spans="2:21" ht="74.849999999999994" customHeight="1">
      <c r="B34" s="59" t="s">
        <v>312</v>
      </c>
      <c r="C34" s="60"/>
      <c r="D34" s="60"/>
      <c r="E34" s="60"/>
      <c r="F34" s="60"/>
      <c r="G34" s="60"/>
      <c r="H34" s="60"/>
      <c r="I34" s="60"/>
      <c r="J34" s="60"/>
      <c r="K34" s="60"/>
      <c r="L34" s="60"/>
      <c r="M34" s="60"/>
      <c r="N34" s="60"/>
      <c r="O34" s="60"/>
      <c r="P34" s="60"/>
      <c r="Q34" s="60"/>
      <c r="R34" s="60"/>
      <c r="S34" s="60"/>
      <c r="T34" s="60"/>
      <c r="U34" s="61"/>
    </row>
    <row r="35" spans="2:21" ht="48.2" customHeight="1" thickBot="1">
      <c r="B35" s="62" t="s">
        <v>313</v>
      </c>
      <c r="C35" s="63"/>
      <c r="D35" s="63"/>
      <c r="E35" s="63"/>
      <c r="F35" s="63"/>
      <c r="G35" s="63"/>
      <c r="H35" s="63"/>
      <c r="I35" s="63"/>
      <c r="J35" s="63"/>
      <c r="K35" s="63"/>
      <c r="L35" s="63"/>
      <c r="M35" s="63"/>
      <c r="N35" s="63"/>
      <c r="O35" s="63"/>
      <c r="P35" s="63"/>
      <c r="Q35" s="63"/>
      <c r="R35" s="63"/>
      <c r="S35" s="63"/>
      <c r="T35" s="63"/>
      <c r="U35" s="64"/>
    </row>
  </sheetData>
  <mergeCells count="6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B35:U35"/>
    <mergeCell ref="B23:D23"/>
    <mergeCell ref="B24:D24"/>
    <mergeCell ref="B26:U26"/>
    <mergeCell ref="B27:U27"/>
    <mergeCell ref="B28:U28"/>
    <mergeCell ref="B29:U29"/>
    <mergeCell ref="B30:U30"/>
    <mergeCell ref="B31:U31"/>
    <mergeCell ref="B32:U32"/>
    <mergeCell ref="B33:U33"/>
    <mergeCell ref="B34:U34"/>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7"/>
  <sheetViews>
    <sheetView view="pageBreakPreview" zoomScale="80" zoomScaleNormal="80" zoomScaleSheetLayoutView="80" workbookViewId="0">
      <selection activeCell="I9" sqref="I9:K10"/>
    </sheetView>
  </sheetViews>
  <sheetFormatPr baseColWidth="10" defaultColWidth="10" defaultRowHeight="12.75"/>
  <cols>
    <col min="1" max="1" width="3.42578125" style="1" customWidth="1"/>
    <col min="2" max="2" width="13.7109375" style="1" customWidth="1"/>
    <col min="3" max="3" width="5.85546875" style="1" customWidth="1"/>
    <col min="4" max="4" width="8.5703125" style="1" customWidth="1"/>
    <col min="5" max="5" width="9.7109375" style="1" customWidth="1"/>
    <col min="6" max="6" width="4.42578125" style="1" customWidth="1"/>
    <col min="7" max="7" width="0.28515625" style="1" customWidth="1"/>
    <col min="8" max="8" width="2.28515625" style="1" customWidth="1"/>
    <col min="9" max="9" width="6.5703125" style="1" customWidth="1"/>
    <col min="10" max="10" width="7.85546875" style="1" customWidth="1"/>
    <col min="11" max="11" width="9.42578125" style="1" customWidth="1"/>
    <col min="12" max="12" width="7.7109375" style="1" customWidth="1"/>
    <col min="13" max="13" width="6.140625" style="1" customWidth="1"/>
    <col min="14" max="14" width="8.28515625" style="1" customWidth="1"/>
    <col min="15" max="15" width="11.140625" style="1" customWidth="1"/>
    <col min="16" max="16" width="11.5703125" style="1" customWidth="1"/>
    <col min="17" max="17" width="12.140625" style="1" customWidth="1"/>
    <col min="18" max="18" width="9" style="1" customWidth="1"/>
    <col min="19" max="19" width="13" style="1" customWidth="1"/>
    <col min="20" max="20" width="10.7109375" style="1" customWidth="1"/>
    <col min="21" max="21" width="10.42578125" style="1" customWidth="1"/>
    <col min="22" max="22" width="11.42578125" style="1" customWidth="1"/>
    <col min="23" max="23" width="10.7109375" style="1" customWidth="1"/>
    <col min="24" max="24" width="8.42578125" style="1" customWidth="1"/>
    <col min="25" max="25" width="8.7109375" style="1" customWidth="1"/>
    <col min="26" max="26" width="9.5703125" style="1" customWidth="1"/>
    <col min="27" max="29" width="10" style="1"/>
    <col min="30" max="30" width="15.42578125" style="1" customWidth="1"/>
    <col min="31" max="16384" width="10" style="1"/>
  </cols>
  <sheetData>
    <row r="1" spans="1:34" s="2" customFormat="1" ht="48" customHeight="1">
      <c r="A1" s="3"/>
      <c r="B1" s="98" t="s">
        <v>583</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314</v>
      </c>
      <c r="D4" s="99" t="s">
        <v>315</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v>
      </c>
      <c r="D6" s="80"/>
      <c r="E6" s="80"/>
      <c r="F6" s="80"/>
      <c r="G6" s="80"/>
      <c r="H6" s="18"/>
      <c r="I6" s="18"/>
      <c r="J6" s="18" t="s">
        <v>18</v>
      </c>
      <c r="K6" s="80" t="s">
        <v>19</v>
      </c>
      <c r="L6" s="80"/>
      <c r="M6" s="80"/>
      <c r="N6" s="19"/>
      <c r="O6" s="20" t="s">
        <v>20</v>
      </c>
      <c r="P6" s="80" t="s">
        <v>21</v>
      </c>
      <c r="Q6" s="80"/>
      <c r="R6" s="21"/>
      <c r="S6" s="20" t="s">
        <v>22</v>
      </c>
      <c r="T6" s="80" t="s">
        <v>130</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c r="A11" s="25"/>
      <c r="B11" s="26" t="s">
        <v>38</v>
      </c>
      <c r="C11" s="73" t="s">
        <v>316</v>
      </c>
      <c r="D11" s="73"/>
      <c r="E11" s="73"/>
      <c r="F11" s="73"/>
      <c r="G11" s="73"/>
      <c r="H11" s="73"/>
      <c r="I11" s="73" t="s">
        <v>56</v>
      </c>
      <c r="J11" s="73"/>
      <c r="K11" s="73"/>
      <c r="L11" s="73" t="s">
        <v>317</v>
      </c>
      <c r="M11" s="73"/>
      <c r="N11" s="73"/>
      <c r="O11" s="73"/>
      <c r="P11" s="27" t="s">
        <v>132</v>
      </c>
      <c r="Q11" s="27" t="s">
        <v>43</v>
      </c>
      <c r="R11" s="54">
        <v>78.19</v>
      </c>
      <c r="S11" s="54">
        <v>78.19</v>
      </c>
      <c r="T11" s="54">
        <v>78.39</v>
      </c>
      <c r="U11" s="28">
        <f>IF(ISERR(T11/S11*100),"N/A",T11/S11*100)</f>
        <v>100.25578718506203</v>
      </c>
    </row>
    <row r="12" spans="1:34" ht="75" customHeight="1" thickBot="1">
      <c r="A12" s="25"/>
      <c r="B12" s="29" t="s">
        <v>44</v>
      </c>
      <c r="C12" s="72" t="s">
        <v>44</v>
      </c>
      <c r="D12" s="72"/>
      <c r="E12" s="72"/>
      <c r="F12" s="72"/>
      <c r="G12" s="72"/>
      <c r="H12" s="72"/>
      <c r="I12" s="72" t="s">
        <v>318</v>
      </c>
      <c r="J12" s="72"/>
      <c r="K12" s="72"/>
      <c r="L12" s="72" t="s">
        <v>319</v>
      </c>
      <c r="M12" s="72"/>
      <c r="N12" s="72"/>
      <c r="O12" s="72"/>
      <c r="P12" s="30" t="s">
        <v>135</v>
      </c>
      <c r="Q12" s="30" t="s">
        <v>43</v>
      </c>
      <c r="R12" s="31">
        <v>16</v>
      </c>
      <c r="S12" s="31" t="s">
        <v>49</v>
      </c>
      <c r="T12" s="31" t="s">
        <v>49</v>
      </c>
      <c r="U12" s="32" t="str">
        <f>IF(ISERR((S12-T12)*100/S12+100),"N/A",(S12-T12)*100/S12+100)</f>
        <v>N/A</v>
      </c>
    </row>
    <row r="13" spans="1:34" ht="75" customHeight="1" thickTop="1" thickBot="1">
      <c r="A13" s="25"/>
      <c r="B13" s="26" t="s">
        <v>62</v>
      </c>
      <c r="C13" s="73" t="s">
        <v>320</v>
      </c>
      <c r="D13" s="73"/>
      <c r="E13" s="73"/>
      <c r="F13" s="73"/>
      <c r="G13" s="73"/>
      <c r="H13" s="73"/>
      <c r="I13" s="73" t="s">
        <v>321</v>
      </c>
      <c r="J13" s="73"/>
      <c r="K13" s="73"/>
      <c r="L13" s="73" t="s">
        <v>322</v>
      </c>
      <c r="M13" s="73"/>
      <c r="N13" s="73"/>
      <c r="O13" s="73"/>
      <c r="P13" s="27" t="s">
        <v>323</v>
      </c>
      <c r="Q13" s="27" t="s">
        <v>43</v>
      </c>
      <c r="R13" s="54">
        <v>685.7</v>
      </c>
      <c r="S13" s="54">
        <v>685.7</v>
      </c>
      <c r="T13" s="54">
        <v>717.8</v>
      </c>
      <c r="U13" s="28">
        <f>IF(ISERR((S13-T13)*100/S13+100),"N/A",(S13-T13)*100/S13+100)</f>
        <v>95.318652471926512</v>
      </c>
    </row>
    <row r="14" spans="1:34" ht="75" customHeight="1" thickTop="1">
      <c r="A14" s="25"/>
      <c r="B14" s="26" t="s">
        <v>71</v>
      </c>
      <c r="C14" s="73" t="s">
        <v>324</v>
      </c>
      <c r="D14" s="73"/>
      <c r="E14" s="73"/>
      <c r="F14" s="73"/>
      <c r="G14" s="73"/>
      <c r="H14" s="73"/>
      <c r="I14" s="73" t="s">
        <v>325</v>
      </c>
      <c r="J14" s="73"/>
      <c r="K14" s="73"/>
      <c r="L14" s="73" t="s">
        <v>326</v>
      </c>
      <c r="M14" s="73"/>
      <c r="N14" s="73"/>
      <c r="O14" s="73"/>
      <c r="P14" s="27" t="s">
        <v>47</v>
      </c>
      <c r="Q14" s="27" t="s">
        <v>139</v>
      </c>
      <c r="R14" s="27">
        <v>8.8000000000000007</v>
      </c>
      <c r="S14" s="27">
        <v>8.8000000000000007</v>
      </c>
      <c r="T14" s="27">
        <v>9.84</v>
      </c>
      <c r="U14" s="28">
        <f>IF(ISERR((S14-T14)*100/S14+100),"N/A",(S14-T14)*100/S14+100)</f>
        <v>88.181818181818187</v>
      </c>
    </row>
    <row r="15" spans="1:34" ht="75" customHeight="1">
      <c r="A15" s="25"/>
      <c r="B15" s="29" t="s">
        <v>44</v>
      </c>
      <c r="C15" s="72" t="s">
        <v>44</v>
      </c>
      <c r="D15" s="72"/>
      <c r="E15" s="72"/>
      <c r="F15" s="72"/>
      <c r="G15" s="72"/>
      <c r="H15" s="72"/>
      <c r="I15" s="72" t="s">
        <v>327</v>
      </c>
      <c r="J15" s="72"/>
      <c r="K15" s="72"/>
      <c r="L15" s="72" t="s">
        <v>328</v>
      </c>
      <c r="M15" s="72"/>
      <c r="N15" s="72"/>
      <c r="O15" s="72"/>
      <c r="P15" s="30" t="s">
        <v>47</v>
      </c>
      <c r="Q15" s="30" t="s">
        <v>329</v>
      </c>
      <c r="R15" s="30">
        <v>5</v>
      </c>
      <c r="S15" s="30">
        <v>5</v>
      </c>
      <c r="T15" s="30">
        <v>5.65</v>
      </c>
      <c r="U15" s="32">
        <f>IF(ISERR((S15-T15)*100/S15+100),"N/A",(S15-T15)*100/S15+100)</f>
        <v>87</v>
      </c>
    </row>
    <row r="16" spans="1:34" ht="75" customHeight="1">
      <c r="A16" s="25"/>
      <c r="B16" s="29" t="s">
        <v>44</v>
      </c>
      <c r="C16" s="72" t="s">
        <v>330</v>
      </c>
      <c r="D16" s="72"/>
      <c r="E16" s="72"/>
      <c r="F16" s="72"/>
      <c r="G16" s="72"/>
      <c r="H16" s="72"/>
      <c r="I16" s="72" t="s">
        <v>331</v>
      </c>
      <c r="J16" s="72"/>
      <c r="K16" s="72"/>
      <c r="L16" s="72" t="s">
        <v>332</v>
      </c>
      <c r="M16" s="72"/>
      <c r="N16" s="72"/>
      <c r="O16" s="72"/>
      <c r="P16" s="30" t="s">
        <v>323</v>
      </c>
      <c r="Q16" s="30" t="s">
        <v>91</v>
      </c>
      <c r="R16" s="30">
        <v>7.4</v>
      </c>
      <c r="S16" s="30">
        <v>7.4</v>
      </c>
      <c r="T16" s="30">
        <v>7.83</v>
      </c>
      <c r="U16" s="32">
        <f>IF(ISERR((S16-T16)*100/S16+100),"N/A",(S16-T16)*100/S16+100)</f>
        <v>94.189189189189193</v>
      </c>
    </row>
    <row r="17" spans="1:22" ht="75" customHeight="1">
      <c r="A17" s="25"/>
      <c r="B17" s="29" t="s">
        <v>44</v>
      </c>
      <c r="C17" s="72" t="s">
        <v>333</v>
      </c>
      <c r="D17" s="72"/>
      <c r="E17" s="72"/>
      <c r="F17" s="72"/>
      <c r="G17" s="72"/>
      <c r="H17" s="72"/>
      <c r="I17" s="72" t="s">
        <v>334</v>
      </c>
      <c r="J17" s="72"/>
      <c r="K17" s="72"/>
      <c r="L17" s="72" t="s">
        <v>335</v>
      </c>
      <c r="M17" s="72"/>
      <c r="N17" s="72"/>
      <c r="O17" s="72"/>
      <c r="P17" s="30" t="s">
        <v>336</v>
      </c>
      <c r="Q17" s="30" t="s">
        <v>139</v>
      </c>
      <c r="R17" s="30">
        <v>41</v>
      </c>
      <c r="S17" s="30">
        <v>41</v>
      </c>
      <c r="T17" s="30">
        <v>38.700000000000003</v>
      </c>
      <c r="U17" s="32">
        <f>IF(ISERR(T17/S17*100),"N/A",T17/S17*100)</f>
        <v>94.390243902439025</v>
      </c>
    </row>
    <row r="18" spans="1:22" ht="75" customHeight="1">
      <c r="A18" s="25"/>
      <c r="B18" s="29" t="s">
        <v>44</v>
      </c>
      <c r="C18" s="72" t="s">
        <v>44</v>
      </c>
      <c r="D18" s="72"/>
      <c r="E18" s="72"/>
      <c r="F18" s="72"/>
      <c r="G18" s="72"/>
      <c r="H18" s="72"/>
      <c r="I18" s="72" t="s">
        <v>337</v>
      </c>
      <c r="J18" s="72"/>
      <c r="K18" s="72"/>
      <c r="L18" s="72" t="s">
        <v>338</v>
      </c>
      <c r="M18" s="72"/>
      <c r="N18" s="72"/>
      <c r="O18" s="72"/>
      <c r="P18" s="30" t="s">
        <v>336</v>
      </c>
      <c r="Q18" s="30" t="s">
        <v>139</v>
      </c>
      <c r="R18" s="30">
        <v>83.36</v>
      </c>
      <c r="S18" s="30">
        <v>83.36</v>
      </c>
      <c r="T18" s="30">
        <v>64.8</v>
      </c>
      <c r="U18" s="32">
        <f>IF(ISERR(T18/S18*100),"N/A",T18/S18*100)</f>
        <v>77.735124760076772</v>
      </c>
    </row>
    <row r="19" spans="1:22" ht="75" customHeight="1">
      <c r="A19" s="25"/>
      <c r="B19" s="29" t="s">
        <v>44</v>
      </c>
      <c r="C19" s="72" t="s">
        <v>339</v>
      </c>
      <c r="D19" s="72"/>
      <c r="E19" s="72"/>
      <c r="F19" s="72"/>
      <c r="G19" s="72"/>
      <c r="H19" s="72"/>
      <c r="I19" s="72" t="s">
        <v>340</v>
      </c>
      <c r="J19" s="72"/>
      <c r="K19" s="72"/>
      <c r="L19" s="72" t="s">
        <v>341</v>
      </c>
      <c r="M19" s="72"/>
      <c r="N19" s="72"/>
      <c r="O19" s="72"/>
      <c r="P19" s="30" t="s">
        <v>342</v>
      </c>
      <c r="Q19" s="30" t="s">
        <v>343</v>
      </c>
      <c r="R19" s="30">
        <v>36.99</v>
      </c>
      <c r="S19" s="30">
        <v>36.99</v>
      </c>
      <c r="T19" s="30">
        <v>37.5</v>
      </c>
      <c r="U19" s="32">
        <f>IF(ISERR((S19-T19)*100/S19+100),"N/A",(S19-T19)*100/S19+100)</f>
        <v>98.621248986212493</v>
      </c>
    </row>
    <row r="20" spans="1:22" ht="75" customHeight="1">
      <c r="A20" s="25"/>
      <c r="B20" s="29" t="s">
        <v>44</v>
      </c>
      <c r="C20" s="72" t="s">
        <v>344</v>
      </c>
      <c r="D20" s="72"/>
      <c r="E20" s="72"/>
      <c r="F20" s="72"/>
      <c r="G20" s="72"/>
      <c r="H20" s="72"/>
      <c r="I20" s="72" t="s">
        <v>345</v>
      </c>
      <c r="J20" s="72"/>
      <c r="K20" s="72"/>
      <c r="L20" s="72" t="s">
        <v>346</v>
      </c>
      <c r="M20" s="72"/>
      <c r="N20" s="72"/>
      <c r="O20" s="72"/>
      <c r="P20" s="30" t="s">
        <v>47</v>
      </c>
      <c r="Q20" s="30" t="s">
        <v>91</v>
      </c>
      <c r="R20" s="31">
        <v>91</v>
      </c>
      <c r="S20" s="31">
        <v>91</v>
      </c>
      <c r="T20" s="31">
        <v>93.29</v>
      </c>
      <c r="U20" s="32">
        <f t="shared" ref="U20:U30" si="0">IF(ISERR(T20/S20*100),"N/A",T20/S20*100)</f>
        <v>102.51648351648353</v>
      </c>
    </row>
    <row r="21" spans="1:22" ht="75" customHeight="1" thickBot="1">
      <c r="A21" s="25"/>
      <c r="B21" s="29" t="s">
        <v>44</v>
      </c>
      <c r="C21" s="72" t="s">
        <v>44</v>
      </c>
      <c r="D21" s="72"/>
      <c r="E21" s="72"/>
      <c r="F21" s="72"/>
      <c r="G21" s="72"/>
      <c r="H21" s="72"/>
      <c r="I21" s="72" t="s">
        <v>347</v>
      </c>
      <c r="J21" s="72"/>
      <c r="K21" s="72"/>
      <c r="L21" s="72" t="s">
        <v>348</v>
      </c>
      <c r="M21" s="72"/>
      <c r="N21" s="72"/>
      <c r="O21" s="72"/>
      <c r="P21" s="30" t="s">
        <v>47</v>
      </c>
      <c r="Q21" s="30" t="s">
        <v>349</v>
      </c>
      <c r="R21" s="31">
        <v>93.5</v>
      </c>
      <c r="S21" s="31">
        <v>93.5</v>
      </c>
      <c r="T21" s="31">
        <v>82.56</v>
      </c>
      <c r="U21" s="32">
        <f t="shared" si="0"/>
        <v>88.299465240641723</v>
      </c>
    </row>
    <row r="22" spans="1:22" ht="75" customHeight="1" thickTop="1">
      <c r="A22" s="25"/>
      <c r="B22" s="26" t="s">
        <v>87</v>
      </c>
      <c r="C22" s="73" t="s">
        <v>350</v>
      </c>
      <c r="D22" s="73"/>
      <c r="E22" s="73"/>
      <c r="F22" s="73"/>
      <c r="G22" s="73"/>
      <c r="H22" s="73"/>
      <c r="I22" s="73" t="s">
        <v>351</v>
      </c>
      <c r="J22" s="73"/>
      <c r="K22" s="73"/>
      <c r="L22" s="73" t="s">
        <v>352</v>
      </c>
      <c r="M22" s="73"/>
      <c r="N22" s="73"/>
      <c r="O22" s="73"/>
      <c r="P22" s="27" t="s">
        <v>353</v>
      </c>
      <c r="Q22" s="27" t="s">
        <v>91</v>
      </c>
      <c r="R22" s="27">
        <v>60</v>
      </c>
      <c r="S22" s="27">
        <v>60</v>
      </c>
      <c r="T22" s="27">
        <v>53.7</v>
      </c>
      <c r="U22" s="28">
        <f t="shared" si="0"/>
        <v>89.5</v>
      </c>
    </row>
    <row r="23" spans="1:22" ht="75" customHeight="1">
      <c r="A23" s="25"/>
      <c r="B23" s="29" t="s">
        <v>44</v>
      </c>
      <c r="C23" s="72" t="s">
        <v>44</v>
      </c>
      <c r="D23" s="72"/>
      <c r="E23" s="72"/>
      <c r="F23" s="72"/>
      <c r="G23" s="72"/>
      <c r="H23" s="72"/>
      <c r="I23" s="72" t="s">
        <v>354</v>
      </c>
      <c r="J23" s="72"/>
      <c r="K23" s="72"/>
      <c r="L23" s="72" t="s">
        <v>355</v>
      </c>
      <c r="M23" s="72"/>
      <c r="N23" s="72"/>
      <c r="O23" s="72"/>
      <c r="P23" s="30" t="s">
        <v>353</v>
      </c>
      <c r="Q23" s="30" t="s">
        <v>91</v>
      </c>
      <c r="R23" s="30">
        <v>7</v>
      </c>
      <c r="S23" s="30">
        <v>7</v>
      </c>
      <c r="T23" s="30">
        <v>6.7</v>
      </c>
      <c r="U23" s="32">
        <f t="shared" si="0"/>
        <v>95.714285714285722</v>
      </c>
    </row>
    <row r="24" spans="1:22" ht="75" customHeight="1">
      <c r="A24" s="25"/>
      <c r="B24" s="29" t="s">
        <v>44</v>
      </c>
      <c r="C24" s="72" t="s">
        <v>356</v>
      </c>
      <c r="D24" s="72"/>
      <c r="E24" s="72"/>
      <c r="F24" s="72"/>
      <c r="G24" s="72"/>
      <c r="H24" s="72"/>
      <c r="I24" s="72" t="s">
        <v>357</v>
      </c>
      <c r="J24" s="72"/>
      <c r="K24" s="72"/>
      <c r="L24" s="72" t="s">
        <v>358</v>
      </c>
      <c r="M24" s="72"/>
      <c r="N24" s="72"/>
      <c r="O24" s="72"/>
      <c r="P24" s="30" t="s">
        <v>47</v>
      </c>
      <c r="Q24" s="30" t="s">
        <v>91</v>
      </c>
      <c r="R24" s="30">
        <v>100</v>
      </c>
      <c r="S24" s="30">
        <v>100</v>
      </c>
      <c r="T24" s="30">
        <v>87.77</v>
      </c>
      <c r="U24" s="32">
        <f t="shared" si="0"/>
        <v>87.77</v>
      </c>
    </row>
    <row r="25" spans="1:22" ht="75" customHeight="1">
      <c r="A25" s="25"/>
      <c r="B25" s="29" t="s">
        <v>44</v>
      </c>
      <c r="C25" s="72" t="s">
        <v>359</v>
      </c>
      <c r="D25" s="72"/>
      <c r="E25" s="72"/>
      <c r="F25" s="72"/>
      <c r="G25" s="72"/>
      <c r="H25" s="72"/>
      <c r="I25" s="72" t="s">
        <v>360</v>
      </c>
      <c r="J25" s="72"/>
      <c r="K25" s="72"/>
      <c r="L25" s="72" t="s">
        <v>361</v>
      </c>
      <c r="M25" s="72"/>
      <c r="N25" s="72"/>
      <c r="O25" s="72"/>
      <c r="P25" s="30" t="s">
        <v>336</v>
      </c>
      <c r="Q25" s="30" t="s">
        <v>91</v>
      </c>
      <c r="R25" s="31">
        <v>12966966</v>
      </c>
      <c r="S25" s="31">
        <v>12966966</v>
      </c>
      <c r="T25" s="31">
        <v>14797280</v>
      </c>
      <c r="U25" s="32">
        <f t="shared" si="0"/>
        <v>114.11520628649757</v>
      </c>
    </row>
    <row r="26" spans="1:22" ht="75" customHeight="1">
      <c r="A26" s="25"/>
      <c r="B26" s="29" t="s">
        <v>44</v>
      </c>
      <c r="C26" s="72" t="s">
        <v>44</v>
      </c>
      <c r="D26" s="72"/>
      <c r="E26" s="72"/>
      <c r="F26" s="72"/>
      <c r="G26" s="72"/>
      <c r="H26" s="72"/>
      <c r="I26" s="72" t="s">
        <v>362</v>
      </c>
      <c r="J26" s="72"/>
      <c r="K26" s="72"/>
      <c r="L26" s="72" t="s">
        <v>363</v>
      </c>
      <c r="M26" s="72"/>
      <c r="N26" s="72"/>
      <c r="O26" s="72"/>
      <c r="P26" s="30" t="s">
        <v>336</v>
      </c>
      <c r="Q26" s="30" t="s">
        <v>91</v>
      </c>
      <c r="R26" s="31">
        <v>17201308</v>
      </c>
      <c r="S26" s="31">
        <v>17201308</v>
      </c>
      <c r="T26" s="31">
        <v>19239242</v>
      </c>
      <c r="U26" s="32">
        <f t="shared" si="0"/>
        <v>111.84755252333136</v>
      </c>
    </row>
    <row r="27" spans="1:22" ht="75" customHeight="1">
      <c r="A27" s="25"/>
      <c r="B27" s="29" t="s">
        <v>44</v>
      </c>
      <c r="C27" s="72" t="s">
        <v>364</v>
      </c>
      <c r="D27" s="72"/>
      <c r="E27" s="72"/>
      <c r="F27" s="72"/>
      <c r="G27" s="72"/>
      <c r="H27" s="72"/>
      <c r="I27" s="72" t="s">
        <v>365</v>
      </c>
      <c r="J27" s="72"/>
      <c r="K27" s="72"/>
      <c r="L27" s="72" t="s">
        <v>366</v>
      </c>
      <c r="M27" s="72"/>
      <c r="N27" s="72"/>
      <c r="O27" s="72"/>
      <c r="P27" s="30" t="s">
        <v>367</v>
      </c>
      <c r="Q27" s="30" t="s">
        <v>91</v>
      </c>
      <c r="R27" s="30">
        <v>97.71</v>
      </c>
      <c r="S27" s="30">
        <v>97.71</v>
      </c>
      <c r="T27" s="30">
        <v>99.32</v>
      </c>
      <c r="U27" s="32">
        <f t="shared" si="0"/>
        <v>101.64773308770852</v>
      </c>
    </row>
    <row r="28" spans="1:22" ht="75" customHeight="1">
      <c r="A28" s="25"/>
      <c r="B28" s="29" t="s">
        <v>44</v>
      </c>
      <c r="C28" s="72" t="s">
        <v>368</v>
      </c>
      <c r="D28" s="72"/>
      <c r="E28" s="72"/>
      <c r="F28" s="72"/>
      <c r="G28" s="72"/>
      <c r="H28" s="72"/>
      <c r="I28" s="72" t="s">
        <v>369</v>
      </c>
      <c r="J28" s="72"/>
      <c r="K28" s="72"/>
      <c r="L28" s="72" t="s">
        <v>370</v>
      </c>
      <c r="M28" s="72"/>
      <c r="N28" s="72"/>
      <c r="O28" s="72"/>
      <c r="P28" s="30" t="s">
        <v>342</v>
      </c>
      <c r="Q28" s="30" t="s">
        <v>91</v>
      </c>
      <c r="R28" s="30">
        <v>144</v>
      </c>
      <c r="S28" s="30">
        <v>144</v>
      </c>
      <c r="T28" s="30">
        <v>121.1</v>
      </c>
      <c r="U28" s="32">
        <f t="shared" si="0"/>
        <v>84.097222222222229</v>
      </c>
    </row>
    <row r="29" spans="1:22" ht="75" customHeight="1">
      <c r="A29" s="25"/>
      <c r="B29" s="29" t="s">
        <v>44</v>
      </c>
      <c r="C29" s="72" t="s">
        <v>371</v>
      </c>
      <c r="D29" s="72"/>
      <c r="E29" s="72"/>
      <c r="F29" s="72"/>
      <c r="G29" s="72"/>
      <c r="H29" s="72"/>
      <c r="I29" s="72" t="s">
        <v>372</v>
      </c>
      <c r="J29" s="72"/>
      <c r="K29" s="72"/>
      <c r="L29" s="72" t="s">
        <v>373</v>
      </c>
      <c r="M29" s="72"/>
      <c r="N29" s="72"/>
      <c r="O29" s="72"/>
      <c r="P29" s="30" t="s">
        <v>374</v>
      </c>
      <c r="Q29" s="30" t="s">
        <v>91</v>
      </c>
      <c r="R29" s="31">
        <v>172000</v>
      </c>
      <c r="S29" s="31">
        <v>172000</v>
      </c>
      <c r="T29" s="31">
        <v>146716</v>
      </c>
      <c r="U29" s="32">
        <f t="shared" si="0"/>
        <v>85.3</v>
      </c>
    </row>
    <row r="30" spans="1:22" ht="75" customHeight="1" thickBot="1">
      <c r="A30" s="25"/>
      <c r="B30" s="29" t="s">
        <v>44</v>
      </c>
      <c r="C30" s="72" t="s">
        <v>44</v>
      </c>
      <c r="D30" s="72"/>
      <c r="E30" s="72"/>
      <c r="F30" s="72"/>
      <c r="G30" s="72"/>
      <c r="H30" s="72"/>
      <c r="I30" s="72" t="s">
        <v>375</v>
      </c>
      <c r="J30" s="72"/>
      <c r="K30" s="72"/>
      <c r="L30" s="72" t="s">
        <v>376</v>
      </c>
      <c r="M30" s="72"/>
      <c r="N30" s="72"/>
      <c r="O30" s="72"/>
      <c r="P30" s="30" t="s">
        <v>353</v>
      </c>
      <c r="Q30" s="30" t="s">
        <v>91</v>
      </c>
      <c r="R30" s="31">
        <v>733200</v>
      </c>
      <c r="S30" s="31">
        <v>733200</v>
      </c>
      <c r="T30" s="31">
        <v>1413299</v>
      </c>
      <c r="U30" s="32">
        <f t="shared" si="0"/>
        <v>192.7576377523186</v>
      </c>
    </row>
    <row r="31" spans="1:22" ht="22.5" customHeight="1" thickTop="1" thickBot="1">
      <c r="B31" s="8" t="s">
        <v>98</v>
      </c>
      <c r="C31" s="9"/>
      <c r="D31" s="9"/>
      <c r="E31" s="9"/>
      <c r="F31" s="9"/>
      <c r="G31" s="9"/>
      <c r="H31" s="10"/>
      <c r="I31" s="10"/>
      <c r="J31" s="10"/>
      <c r="K31" s="10"/>
      <c r="L31" s="10"/>
      <c r="M31" s="10"/>
      <c r="N31" s="10"/>
      <c r="O31" s="10"/>
      <c r="P31" s="10"/>
      <c r="Q31" s="10"/>
      <c r="R31" s="10"/>
      <c r="S31" s="10"/>
      <c r="T31" s="10"/>
      <c r="U31" s="11"/>
      <c r="V31" s="33"/>
    </row>
    <row r="32" spans="1:22" ht="26.25" customHeight="1" thickTop="1">
      <c r="B32" s="34"/>
      <c r="C32" s="35"/>
      <c r="D32" s="35"/>
      <c r="E32" s="35"/>
      <c r="F32" s="35"/>
      <c r="G32" s="35"/>
      <c r="H32" s="36"/>
      <c r="I32" s="36"/>
      <c r="J32" s="36"/>
      <c r="K32" s="36"/>
      <c r="L32" s="36"/>
      <c r="M32" s="36"/>
      <c r="N32" s="36"/>
      <c r="O32" s="36"/>
      <c r="P32" s="37"/>
      <c r="Q32" s="38"/>
      <c r="R32" s="39" t="s">
        <v>99</v>
      </c>
      <c r="S32" s="22" t="s">
        <v>100</v>
      </c>
      <c r="T32" s="39" t="s">
        <v>101</v>
      </c>
      <c r="U32" s="22" t="s">
        <v>102</v>
      </c>
    </row>
    <row r="33" spans="2:21" ht="26.25" customHeight="1" thickBot="1">
      <c r="B33" s="40"/>
      <c r="C33" s="41"/>
      <c r="D33" s="41"/>
      <c r="E33" s="41"/>
      <c r="F33" s="41"/>
      <c r="G33" s="41"/>
      <c r="H33" s="42"/>
      <c r="I33" s="42"/>
      <c r="J33" s="42"/>
      <c r="K33" s="42"/>
      <c r="L33" s="42"/>
      <c r="M33" s="42"/>
      <c r="N33" s="42"/>
      <c r="O33" s="42"/>
      <c r="P33" s="43"/>
      <c r="Q33" s="44"/>
      <c r="R33" s="45" t="s">
        <v>103</v>
      </c>
      <c r="S33" s="44" t="s">
        <v>103</v>
      </c>
      <c r="T33" s="44" t="s">
        <v>103</v>
      </c>
      <c r="U33" s="44" t="s">
        <v>104</v>
      </c>
    </row>
    <row r="34" spans="2:21" ht="13.5" customHeight="1" thickBot="1">
      <c r="B34" s="65" t="s">
        <v>105</v>
      </c>
      <c r="C34" s="66"/>
      <c r="D34" s="66"/>
      <c r="E34" s="46"/>
      <c r="F34" s="46"/>
      <c r="G34" s="46"/>
      <c r="H34" s="47"/>
      <c r="I34" s="47"/>
      <c r="J34" s="47"/>
      <c r="K34" s="47"/>
      <c r="L34" s="47"/>
      <c r="M34" s="47"/>
      <c r="N34" s="47"/>
      <c r="O34" s="47"/>
      <c r="P34" s="48"/>
      <c r="Q34" s="48"/>
      <c r="R34" s="49">
        <f>202644.978661</f>
        <v>202644.978661</v>
      </c>
      <c r="S34" s="49">
        <f>133933.961442</f>
        <v>133933.961442</v>
      </c>
      <c r="T34" s="49">
        <f>137161.8355297</f>
        <v>137161.83552970001</v>
      </c>
      <c r="U34" s="50">
        <f>+IF(ISERR(T34/S34*100),"N/A",T34/S34*100)</f>
        <v>102.410048992016</v>
      </c>
    </row>
    <row r="35" spans="2:21" ht="13.5" customHeight="1" thickBot="1">
      <c r="B35" s="67" t="s">
        <v>106</v>
      </c>
      <c r="C35" s="68"/>
      <c r="D35" s="68"/>
      <c r="E35" s="51"/>
      <c r="F35" s="51"/>
      <c r="G35" s="51"/>
      <c r="H35" s="52"/>
      <c r="I35" s="52"/>
      <c r="J35" s="52"/>
      <c r="K35" s="52"/>
      <c r="L35" s="52"/>
      <c r="M35" s="52"/>
      <c r="N35" s="52"/>
      <c r="O35" s="52"/>
      <c r="P35" s="53"/>
      <c r="Q35" s="53"/>
      <c r="R35" s="49">
        <f>209791.54844832</f>
        <v>209791.54844832001</v>
      </c>
      <c r="S35" s="49">
        <f>138903.21757032</f>
        <v>138903.21757032</v>
      </c>
      <c r="T35" s="49">
        <f>137161.8355297</f>
        <v>137161.83552970001</v>
      </c>
      <c r="U35" s="50">
        <f>+IF(ISERR(T35/S35*100),"N/A",T35/S35*100)</f>
        <v>98.746334267067354</v>
      </c>
    </row>
    <row r="36" spans="2:21" ht="14.85" customHeight="1" thickTop="1" thickBot="1">
      <c r="B36" s="8" t="s">
        <v>107</v>
      </c>
      <c r="C36" s="9"/>
      <c r="D36" s="9"/>
      <c r="E36" s="9"/>
      <c r="F36" s="9"/>
      <c r="G36" s="9"/>
      <c r="H36" s="10"/>
      <c r="I36" s="10"/>
      <c r="J36" s="10"/>
      <c r="K36" s="10"/>
      <c r="L36" s="10"/>
      <c r="M36" s="10"/>
      <c r="N36" s="10"/>
      <c r="O36" s="10"/>
      <c r="P36" s="10"/>
      <c r="Q36" s="10"/>
      <c r="R36" s="10"/>
      <c r="S36" s="10"/>
      <c r="T36" s="10"/>
      <c r="U36" s="11"/>
    </row>
    <row r="37" spans="2:21" ht="44.25" customHeight="1" thickTop="1">
      <c r="B37" s="69" t="s">
        <v>108</v>
      </c>
      <c r="C37" s="70"/>
      <c r="D37" s="70"/>
      <c r="E37" s="70"/>
      <c r="F37" s="70"/>
      <c r="G37" s="70"/>
      <c r="H37" s="70"/>
      <c r="I37" s="70"/>
      <c r="J37" s="70"/>
      <c r="K37" s="70"/>
      <c r="L37" s="70"/>
      <c r="M37" s="70"/>
      <c r="N37" s="70"/>
      <c r="O37" s="70"/>
      <c r="P37" s="70"/>
      <c r="Q37" s="70"/>
      <c r="R37" s="70"/>
      <c r="S37" s="70"/>
      <c r="T37" s="70"/>
      <c r="U37" s="71"/>
    </row>
    <row r="38" spans="2:21" ht="52.35" customHeight="1">
      <c r="B38" s="59" t="s">
        <v>114</v>
      </c>
      <c r="C38" s="60"/>
      <c r="D38" s="60"/>
      <c r="E38" s="60"/>
      <c r="F38" s="60"/>
      <c r="G38" s="60"/>
      <c r="H38" s="60"/>
      <c r="I38" s="60"/>
      <c r="J38" s="60"/>
      <c r="K38" s="60"/>
      <c r="L38" s="60"/>
      <c r="M38" s="60"/>
      <c r="N38" s="60"/>
      <c r="O38" s="60"/>
      <c r="P38" s="60"/>
      <c r="Q38" s="60"/>
      <c r="R38" s="60"/>
      <c r="S38" s="60"/>
      <c r="T38" s="60"/>
      <c r="U38" s="61"/>
    </row>
    <row r="39" spans="2:21" ht="34.5" customHeight="1">
      <c r="B39" s="59" t="s">
        <v>377</v>
      </c>
      <c r="C39" s="60"/>
      <c r="D39" s="60"/>
      <c r="E39" s="60"/>
      <c r="F39" s="60"/>
      <c r="G39" s="60"/>
      <c r="H39" s="60"/>
      <c r="I39" s="60"/>
      <c r="J39" s="60"/>
      <c r="K39" s="60"/>
      <c r="L39" s="60"/>
      <c r="M39" s="60"/>
      <c r="N39" s="60"/>
      <c r="O39" s="60"/>
      <c r="P39" s="60"/>
      <c r="Q39" s="60"/>
      <c r="R39" s="60"/>
      <c r="S39" s="60"/>
      <c r="T39" s="60"/>
      <c r="U39" s="61"/>
    </row>
    <row r="40" spans="2:21" ht="83.45" customHeight="1">
      <c r="B40" s="59" t="s">
        <v>378</v>
      </c>
      <c r="C40" s="60"/>
      <c r="D40" s="60"/>
      <c r="E40" s="60"/>
      <c r="F40" s="60"/>
      <c r="G40" s="60"/>
      <c r="H40" s="60"/>
      <c r="I40" s="60"/>
      <c r="J40" s="60"/>
      <c r="K40" s="60"/>
      <c r="L40" s="60"/>
      <c r="M40" s="60"/>
      <c r="N40" s="60"/>
      <c r="O40" s="60"/>
      <c r="P40" s="60"/>
      <c r="Q40" s="60"/>
      <c r="R40" s="60"/>
      <c r="S40" s="60"/>
      <c r="T40" s="60"/>
      <c r="U40" s="61"/>
    </row>
    <row r="41" spans="2:21" ht="145.5" customHeight="1">
      <c r="B41" s="59" t="s">
        <v>379</v>
      </c>
      <c r="C41" s="60"/>
      <c r="D41" s="60"/>
      <c r="E41" s="60"/>
      <c r="F41" s="60"/>
      <c r="G41" s="60"/>
      <c r="H41" s="60"/>
      <c r="I41" s="60"/>
      <c r="J41" s="60"/>
      <c r="K41" s="60"/>
      <c r="L41" s="60"/>
      <c r="M41" s="60"/>
      <c r="N41" s="60"/>
      <c r="O41" s="60"/>
      <c r="P41" s="60"/>
      <c r="Q41" s="60"/>
      <c r="R41" s="60"/>
      <c r="S41" s="60"/>
      <c r="T41" s="60"/>
      <c r="U41" s="61"/>
    </row>
    <row r="42" spans="2:21" ht="141.94999999999999" customHeight="1">
      <c r="B42" s="59" t="s">
        <v>380</v>
      </c>
      <c r="C42" s="60"/>
      <c r="D42" s="60"/>
      <c r="E42" s="60"/>
      <c r="F42" s="60"/>
      <c r="G42" s="60"/>
      <c r="H42" s="60"/>
      <c r="I42" s="60"/>
      <c r="J42" s="60"/>
      <c r="K42" s="60"/>
      <c r="L42" s="60"/>
      <c r="M42" s="60"/>
      <c r="N42" s="60"/>
      <c r="O42" s="60"/>
      <c r="P42" s="60"/>
      <c r="Q42" s="60"/>
      <c r="R42" s="60"/>
      <c r="S42" s="60"/>
      <c r="T42" s="60"/>
      <c r="U42" s="61"/>
    </row>
    <row r="43" spans="2:21" ht="77.25" customHeight="1">
      <c r="B43" s="59" t="s">
        <v>381</v>
      </c>
      <c r="C43" s="60"/>
      <c r="D43" s="60"/>
      <c r="E43" s="60"/>
      <c r="F43" s="60"/>
      <c r="G43" s="60"/>
      <c r="H43" s="60"/>
      <c r="I43" s="60"/>
      <c r="J43" s="60"/>
      <c r="K43" s="60"/>
      <c r="L43" s="60"/>
      <c r="M43" s="60"/>
      <c r="N43" s="60"/>
      <c r="O43" s="60"/>
      <c r="P43" s="60"/>
      <c r="Q43" s="60"/>
      <c r="R43" s="60"/>
      <c r="S43" s="60"/>
      <c r="T43" s="60"/>
      <c r="U43" s="61"/>
    </row>
    <row r="44" spans="2:21" ht="124.7" customHeight="1">
      <c r="B44" s="59" t="s">
        <v>382</v>
      </c>
      <c r="C44" s="60"/>
      <c r="D44" s="60"/>
      <c r="E44" s="60"/>
      <c r="F44" s="60"/>
      <c r="G44" s="60"/>
      <c r="H44" s="60"/>
      <c r="I44" s="60"/>
      <c r="J44" s="60"/>
      <c r="K44" s="60"/>
      <c r="L44" s="60"/>
      <c r="M44" s="60"/>
      <c r="N44" s="60"/>
      <c r="O44" s="60"/>
      <c r="P44" s="60"/>
      <c r="Q44" s="60"/>
      <c r="R44" s="60"/>
      <c r="S44" s="60"/>
      <c r="T44" s="60"/>
      <c r="U44" s="61"/>
    </row>
    <row r="45" spans="2:21" ht="141.19999999999999" customHeight="1">
      <c r="B45" s="59" t="s">
        <v>383</v>
      </c>
      <c r="C45" s="60"/>
      <c r="D45" s="60"/>
      <c r="E45" s="60"/>
      <c r="F45" s="60"/>
      <c r="G45" s="60"/>
      <c r="H45" s="60"/>
      <c r="I45" s="60"/>
      <c r="J45" s="60"/>
      <c r="K45" s="60"/>
      <c r="L45" s="60"/>
      <c r="M45" s="60"/>
      <c r="N45" s="60"/>
      <c r="O45" s="60"/>
      <c r="P45" s="60"/>
      <c r="Q45" s="60"/>
      <c r="R45" s="60"/>
      <c r="S45" s="60"/>
      <c r="T45" s="60"/>
      <c r="U45" s="61"/>
    </row>
    <row r="46" spans="2:21" ht="103.5" customHeight="1">
      <c r="B46" s="59" t="s">
        <v>384</v>
      </c>
      <c r="C46" s="60"/>
      <c r="D46" s="60"/>
      <c r="E46" s="60"/>
      <c r="F46" s="60"/>
      <c r="G46" s="60"/>
      <c r="H46" s="60"/>
      <c r="I46" s="60"/>
      <c r="J46" s="60"/>
      <c r="K46" s="60"/>
      <c r="L46" s="60"/>
      <c r="M46" s="60"/>
      <c r="N46" s="60"/>
      <c r="O46" s="60"/>
      <c r="P46" s="60"/>
      <c r="Q46" s="60"/>
      <c r="R46" s="60"/>
      <c r="S46" s="60"/>
      <c r="T46" s="60"/>
      <c r="U46" s="61"/>
    </row>
    <row r="47" spans="2:21" ht="60.75" customHeight="1">
      <c r="B47" s="59" t="s">
        <v>385</v>
      </c>
      <c r="C47" s="60"/>
      <c r="D47" s="60"/>
      <c r="E47" s="60"/>
      <c r="F47" s="60"/>
      <c r="G47" s="60"/>
      <c r="H47" s="60"/>
      <c r="I47" s="60"/>
      <c r="J47" s="60"/>
      <c r="K47" s="60"/>
      <c r="L47" s="60"/>
      <c r="M47" s="60"/>
      <c r="N47" s="60"/>
      <c r="O47" s="60"/>
      <c r="P47" s="60"/>
      <c r="Q47" s="60"/>
      <c r="R47" s="60"/>
      <c r="S47" s="60"/>
      <c r="T47" s="60"/>
      <c r="U47" s="61"/>
    </row>
    <row r="48" spans="2:21" ht="71.849999999999994" customHeight="1">
      <c r="B48" s="59" t="s">
        <v>386</v>
      </c>
      <c r="C48" s="60"/>
      <c r="D48" s="60"/>
      <c r="E48" s="60"/>
      <c r="F48" s="60"/>
      <c r="G48" s="60"/>
      <c r="H48" s="60"/>
      <c r="I48" s="60"/>
      <c r="J48" s="60"/>
      <c r="K48" s="60"/>
      <c r="L48" s="60"/>
      <c r="M48" s="60"/>
      <c r="N48" s="60"/>
      <c r="O48" s="60"/>
      <c r="P48" s="60"/>
      <c r="Q48" s="60"/>
      <c r="R48" s="60"/>
      <c r="S48" s="60"/>
      <c r="T48" s="60"/>
      <c r="U48" s="61"/>
    </row>
    <row r="49" spans="2:21" ht="94.35" customHeight="1">
      <c r="B49" s="59" t="s">
        <v>387</v>
      </c>
      <c r="C49" s="60"/>
      <c r="D49" s="60"/>
      <c r="E49" s="60"/>
      <c r="F49" s="60"/>
      <c r="G49" s="60"/>
      <c r="H49" s="60"/>
      <c r="I49" s="60"/>
      <c r="J49" s="60"/>
      <c r="K49" s="60"/>
      <c r="L49" s="60"/>
      <c r="M49" s="60"/>
      <c r="N49" s="60"/>
      <c r="O49" s="60"/>
      <c r="P49" s="60"/>
      <c r="Q49" s="60"/>
      <c r="R49" s="60"/>
      <c r="S49" s="60"/>
      <c r="T49" s="60"/>
      <c r="U49" s="61"/>
    </row>
    <row r="50" spans="2:21" ht="57.95" customHeight="1">
      <c r="B50" s="59" t="s">
        <v>388</v>
      </c>
      <c r="C50" s="60"/>
      <c r="D50" s="60"/>
      <c r="E50" s="60"/>
      <c r="F50" s="60"/>
      <c r="G50" s="60"/>
      <c r="H50" s="60"/>
      <c r="I50" s="60"/>
      <c r="J50" s="60"/>
      <c r="K50" s="60"/>
      <c r="L50" s="60"/>
      <c r="M50" s="60"/>
      <c r="N50" s="60"/>
      <c r="O50" s="60"/>
      <c r="P50" s="60"/>
      <c r="Q50" s="60"/>
      <c r="R50" s="60"/>
      <c r="S50" s="60"/>
      <c r="T50" s="60"/>
      <c r="U50" s="61"/>
    </row>
    <row r="51" spans="2:21" ht="139.5" customHeight="1">
      <c r="B51" s="59" t="s">
        <v>389</v>
      </c>
      <c r="C51" s="60"/>
      <c r="D51" s="60"/>
      <c r="E51" s="60"/>
      <c r="F51" s="60"/>
      <c r="G51" s="60"/>
      <c r="H51" s="60"/>
      <c r="I51" s="60"/>
      <c r="J51" s="60"/>
      <c r="K51" s="60"/>
      <c r="L51" s="60"/>
      <c r="M51" s="60"/>
      <c r="N51" s="60"/>
      <c r="O51" s="60"/>
      <c r="P51" s="60"/>
      <c r="Q51" s="60"/>
      <c r="R51" s="60"/>
      <c r="S51" s="60"/>
      <c r="T51" s="60"/>
      <c r="U51" s="61"/>
    </row>
    <row r="52" spans="2:21" ht="52.5" customHeight="1">
      <c r="B52" s="59" t="s">
        <v>390</v>
      </c>
      <c r="C52" s="60"/>
      <c r="D52" s="60"/>
      <c r="E52" s="60"/>
      <c r="F52" s="60"/>
      <c r="G52" s="60"/>
      <c r="H52" s="60"/>
      <c r="I52" s="60"/>
      <c r="J52" s="60"/>
      <c r="K52" s="60"/>
      <c r="L52" s="60"/>
      <c r="M52" s="60"/>
      <c r="N52" s="60"/>
      <c r="O52" s="60"/>
      <c r="P52" s="60"/>
      <c r="Q52" s="60"/>
      <c r="R52" s="60"/>
      <c r="S52" s="60"/>
      <c r="T52" s="60"/>
      <c r="U52" s="61"/>
    </row>
    <row r="53" spans="2:21" ht="53.45" customHeight="1">
      <c r="B53" s="59" t="s">
        <v>391</v>
      </c>
      <c r="C53" s="60"/>
      <c r="D53" s="60"/>
      <c r="E53" s="60"/>
      <c r="F53" s="60"/>
      <c r="G53" s="60"/>
      <c r="H53" s="60"/>
      <c r="I53" s="60"/>
      <c r="J53" s="60"/>
      <c r="K53" s="60"/>
      <c r="L53" s="60"/>
      <c r="M53" s="60"/>
      <c r="N53" s="60"/>
      <c r="O53" s="60"/>
      <c r="P53" s="60"/>
      <c r="Q53" s="60"/>
      <c r="R53" s="60"/>
      <c r="S53" s="60"/>
      <c r="T53" s="60"/>
      <c r="U53" s="61"/>
    </row>
    <row r="54" spans="2:21" ht="206.45" customHeight="1">
      <c r="B54" s="59" t="s">
        <v>392</v>
      </c>
      <c r="C54" s="60"/>
      <c r="D54" s="60"/>
      <c r="E54" s="60"/>
      <c r="F54" s="60"/>
      <c r="G54" s="60"/>
      <c r="H54" s="60"/>
      <c r="I54" s="60"/>
      <c r="J54" s="60"/>
      <c r="K54" s="60"/>
      <c r="L54" s="60"/>
      <c r="M54" s="60"/>
      <c r="N54" s="60"/>
      <c r="O54" s="60"/>
      <c r="P54" s="60"/>
      <c r="Q54" s="60"/>
      <c r="R54" s="60"/>
      <c r="S54" s="60"/>
      <c r="T54" s="60"/>
      <c r="U54" s="61"/>
    </row>
    <row r="55" spans="2:21" ht="165.2" customHeight="1">
      <c r="B55" s="59" t="s">
        <v>393</v>
      </c>
      <c r="C55" s="60"/>
      <c r="D55" s="60"/>
      <c r="E55" s="60"/>
      <c r="F55" s="60"/>
      <c r="G55" s="60"/>
      <c r="H55" s="60"/>
      <c r="I55" s="60"/>
      <c r="J55" s="60"/>
      <c r="K55" s="60"/>
      <c r="L55" s="60"/>
      <c r="M55" s="60"/>
      <c r="N55" s="60"/>
      <c r="O55" s="60"/>
      <c r="P55" s="60"/>
      <c r="Q55" s="60"/>
      <c r="R55" s="60"/>
      <c r="S55" s="60"/>
      <c r="T55" s="60"/>
      <c r="U55" s="61"/>
    </row>
    <row r="56" spans="2:21" ht="42.75" customHeight="1">
      <c r="B56" s="59" t="s">
        <v>394</v>
      </c>
      <c r="C56" s="60"/>
      <c r="D56" s="60"/>
      <c r="E56" s="60"/>
      <c r="F56" s="60"/>
      <c r="G56" s="60"/>
      <c r="H56" s="60"/>
      <c r="I56" s="60"/>
      <c r="J56" s="60"/>
      <c r="K56" s="60"/>
      <c r="L56" s="60"/>
      <c r="M56" s="60"/>
      <c r="N56" s="60"/>
      <c r="O56" s="60"/>
      <c r="P56" s="60"/>
      <c r="Q56" s="60"/>
      <c r="R56" s="60"/>
      <c r="S56" s="60"/>
      <c r="T56" s="60"/>
      <c r="U56" s="61"/>
    </row>
    <row r="57" spans="2:21" ht="49.7" customHeight="1" thickBot="1">
      <c r="B57" s="62" t="s">
        <v>395</v>
      </c>
      <c r="C57" s="63"/>
      <c r="D57" s="63"/>
      <c r="E57" s="63"/>
      <c r="F57" s="63"/>
      <c r="G57" s="63"/>
      <c r="H57" s="63"/>
      <c r="I57" s="63"/>
      <c r="J57" s="63"/>
      <c r="K57" s="63"/>
      <c r="L57" s="63"/>
      <c r="M57" s="63"/>
      <c r="N57" s="63"/>
      <c r="O57" s="63"/>
      <c r="P57" s="63"/>
      <c r="Q57" s="63"/>
      <c r="R57" s="63"/>
      <c r="S57" s="63"/>
      <c r="T57" s="63"/>
      <c r="U57" s="64"/>
    </row>
  </sheetData>
  <mergeCells count="104">
    <mergeCell ref="B8:B10"/>
    <mergeCell ref="C8:H10"/>
    <mergeCell ref="I8:S8"/>
    <mergeCell ref="T8:U8"/>
    <mergeCell ref="I9:K10"/>
    <mergeCell ref="L9:O10"/>
    <mergeCell ref="B1:L1"/>
    <mergeCell ref="D4:H4"/>
    <mergeCell ref="L4:O4"/>
    <mergeCell ref="Q4:R4"/>
    <mergeCell ref="T4:U4"/>
    <mergeCell ref="B5:U5"/>
    <mergeCell ref="T9:T10"/>
    <mergeCell ref="U9:U10"/>
    <mergeCell ref="C11:H11"/>
    <mergeCell ref="I11:K11"/>
    <mergeCell ref="L11:O11"/>
    <mergeCell ref="C6:G6"/>
    <mergeCell ref="K6:M6"/>
    <mergeCell ref="P6:Q6"/>
    <mergeCell ref="T6:U6"/>
    <mergeCell ref="C12:H12"/>
    <mergeCell ref="I12:K12"/>
    <mergeCell ref="L12:O12"/>
    <mergeCell ref="C13:H13"/>
    <mergeCell ref="I13:K13"/>
    <mergeCell ref="L13:O13"/>
    <mergeCell ref="P9:P10"/>
    <mergeCell ref="Q9:Q10"/>
    <mergeCell ref="R9:S9"/>
    <mergeCell ref="C16:H16"/>
    <mergeCell ref="I16:K16"/>
    <mergeCell ref="L16:O16"/>
    <mergeCell ref="C17:H17"/>
    <mergeCell ref="I17:K17"/>
    <mergeCell ref="L17:O17"/>
    <mergeCell ref="C14:H14"/>
    <mergeCell ref="I14:K14"/>
    <mergeCell ref="L14:O14"/>
    <mergeCell ref="C15:H15"/>
    <mergeCell ref="I15:K15"/>
    <mergeCell ref="L15:O15"/>
    <mergeCell ref="C20:H20"/>
    <mergeCell ref="I20:K20"/>
    <mergeCell ref="L20:O20"/>
    <mergeCell ref="C21:H21"/>
    <mergeCell ref="I21:K21"/>
    <mergeCell ref="L21:O21"/>
    <mergeCell ref="C18:H18"/>
    <mergeCell ref="I18:K18"/>
    <mergeCell ref="L18:O18"/>
    <mergeCell ref="C19:H19"/>
    <mergeCell ref="I19:K19"/>
    <mergeCell ref="L19:O19"/>
    <mergeCell ref="C24:H24"/>
    <mergeCell ref="I24:K24"/>
    <mergeCell ref="L24:O24"/>
    <mergeCell ref="C25:H25"/>
    <mergeCell ref="I25:K25"/>
    <mergeCell ref="L25:O25"/>
    <mergeCell ref="C22:H22"/>
    <mergeCell ref="I22:K22"/>
    <mergeCell ref="L22:O22"/>
    <mergeCell ref="C23:H23"/>
    <mergeCell ref="I23:K23"/>
    <mergeCell ref="L23:O23"/>
    <mergeCell ref="C28:H28"/>
    <mergeCell ref="I28:K28"/>
    <mergeCell ref="L28:O28"/>
    <mergeCell ref="C29:H29"/>
    <mergeCell ref="I29:K29"/>
    <mergeCell ref="L29:O29"/>
    <mergeCell ref="C26:H26"/>
    <mergeCell ref="I26:K26"/>
    <mergeCell ref="L26:O26"/>
    <mergeCell ref="C27:H27"/>
    <mergeCell ref="I27:K27"/>
    <mergeCell ref="L27:O27"/>
    <mergeCell ref="B38:U38"/>
    <mergeCell ref="B39:U39"/>
    <mergeCell ref="B40:U40"/>
    <mergeCell ref="B41:U41"/>
    <mergeCell ref="B42:U42"/>
    <mergeCell ref="B43:U43"/>
    <mergeCell ref="C30:H30"/>
    <mergeCell ref="I30:K30"/>
    <mergeCell ref="L30:O30"/>
    <mergeCell ref="B34:D34"/>
    <mergeCell ref="B35:D35"/>
    <mergeCell ref="B37:U37"/>
    <mergeCell ref="B56:U56"/>
    <mergeCell ref="B57:U57"/>
    <mergeCell ref="B50:U50"/>
    <mergeCell ref="B51:U51"/>
    <mergeCell ref="B52:U52"/>
    <mergeCell ref="B53:U53"/>
    <mergeCell ref="B54:U54"/>
    <mergeCell ref="B55:U55"/>
    <mergeCell ref="B44:U44"/>
    <mergeCell ref="B45:U45"/>
    <mergeCell ref="B46:U46"/>
    <mergeCell ref="B47:U47"/>
    <mergeCell ref="B48:U48"/>
    <mergeCell ref="B49:U49"/>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9"/>
  <sheetViews>
    <sheetView view="pageBreakPreview" zoomScale="80" zoomScaleNormal="80" zoomScaleSheetLayoutView="80" workbookViewId="0">
      <selection activeCell="C8" sqref="C8:H10"/>
    </sheetView>
  </sheetViews>
  <sheetFormatPr baseColWidth="10" defaultColWidth="10" defaultRowHeight="12.75"/>
  <cols>
    <col min="1" max="1" width="3.42578125" style="1" customWidth="1"/>
    <col min="2" max="2" width="13.7109375" style="1" customWidth="1"/>
    <col min="3" max="3" width="5.85546875" style="1" customWidth="1"/>
    <col min="4" max="4" width="8.5703125" style="1" customWidth="1"/>
    <col min="5" max="5" width="9.7109375" style="1" customWidth="1"/>
    <col min="6" max="6" width="4.42578125" style="1" customWidth="1"/>
    <col min="7" max="7" width="0.28515625" style="1" customWidth="1"/>
    <col min="8" max="8" width="2.28515625" style="1" customWidth="1"/>
    <col min="9" max="9" width="6.5703125" style="1" customWidth="1"/>
    <col min="10" max="10" width="7.85546875" style="1" customWidth="1"/>
    <col min="11" max="11" width="9.42578125" style="1" customWidth="1"/>
    <col min="12" max="12" width="7.7109375" style="1" customWidth="1"/>
    <col min="13" max="13" width="6.140625" style="1" customWidth="1"/>
    <col min="14" max="14" width="8.28515625" style="1" customWidth="1"/>
    <col min="15" max="15" width="11.140625" style="1" customWidth="1"/>
    <col min="16" max="16" width="11.5703125" style="1" customWidth="1"/>
    <col min="17" max="17" width="12.140625" style="1" customWidth="1"/>
    <col min="18" max="18" width="9" style="1" customWidth="1"/>
    <col min="19" max="19" width="13" style="1" customWidth="1"/>
    <col min="20" max="20" width="10.7109375" style="1" customWidth="1"/>
    <col min="21" max="21" width="10.42578125" style="1" customWidth="1"/>
    <col min="22" max="22" width="11.42578125" style="1" customWidth="1"/>
    <col min="23" max="23" width="10.7109375" style="1" customWidth="1"/>
    <col min="24" max="24" width="8.42578125" style="1" customWidth="1"/>
    <col min="25" max="25" width="8.7109375" style="1" customWidth="1"/>
    <col min="26" max="26" width="9.5703125" style="1" customWidth="1"/>
    <col min="27" max="29" width="10" style="1"/>
    <col min="30" max="30" width="15.42578125" style="1" customWidth="1"/>
    <col min="31" max="16384" width="10" style="1"/>
  </cols>
  <sheetData>
    <row r="1" spans="1:34" s="2" customFormat="1" ht="48" customHeight="1">
      <c r="A1" s="3"/>
      <c r="B1" s="98" t="s">
        <v>583</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396</v>
      </c>
      <c r="D4" s="99" t="s">
        <v>397</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v>
      </c>
      <c r="D6" s="80"/>
      <c r="E6" s="80"/>
      <c r="F6" s="80"/>
      <c r="G6" s="80"/>
      <c r="H6" s="18"/>
      <c r="I6" s="18"/>
      <c r="J6" s="18" t="s">
        <v>18</v>
      </c>
      <c r="K6" s="80" t="s">
        <v>273</v>
      </c>
      <c r="L6" s="80"/>
      <c r="M6" s="80"/>
      <c r="N6" s="19"/>
      <c r="O6" s="20" t="s">
        <v>20</v>
      </c>
      <c r="P6" s="80" t="s">
        <v>398</v>
      </c>
      <c r="Q6" s="80"/>
      <c r="R6" s="21"/>
      <c r="S6" s="20" t="s">
        <v>22</v>
      </c>
      <c r="T6" s="80" t="s">
        <v>399</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c r="A11" s="25"/>
      <c r="B11" s="26" t="s">
        <v>38</v>
      </c>
      <c r="C11" s="73" t="s">
        <v>400</v>
      </c>
      <c r="D11" s="73"/>
      <c r="E11" s="73"/>
      <c r="F11" s="73"/>
      <c r="G11" s="73"/>
      <c r="H11" s="73"/>
      <c r="I11" s="73" t="s">
        <v>45</v>
      </c>
      <c r="J11" s="73"/>
      <c r="K11" s="73"/>
      <c r="L11" s="73" t="s">
        <v>46</v>
      </c>
      <c r="M11" s="73"/>
      <c r="N11" s="73"/>
      <c r="O11" s="73"/>
      <c r="P11" s="27" t="s">
        <v>47</v>
      </c>
      <c r="Q11" s="27" t="s">
        <v>48</v>
      </c>
      <c r="R11" s="54">
        <v>12</v>
      </c>
      <c r="S11" s="54" t="s">
        <v>49</v>
      </c>
      <c r="T11" s="54" t="s">
        <v>49</v>
      </c>
      <c r="U11" s="28" t="str">
        <f>IF(ISERR((S11-T11)*100/S11+100),"N/A",(S11-T11)*100/S11+100)</f>
        <v>N/A</v>
      </c>
    </row>
    <row r="12" spans="1:34" ht="75" customHeight="1" thickBot="1">
      <c r="A12" s="25"/>
      <c r="B12" s="29" t="s">
        <v>44</v>
      </c>
      <c r="C12" s="72" t="s">
        <v>44</v>
      </c>
      <c r="D12" s="72"/>
      <c r="E12" s="72"/>
      <c r="F12" s="72"/>
      <c r="G12" s="72"/>
      <c r="H12" s="72"/>
      <c r="I12" s="72" t="s">
        <v>401</v>
      </c>
      <c r="J12" s="72"/>
      <c r="K12" s="72"/>
      <c r="L12" s="72" t="s">
        <v>402</v>
      </c>
      <c r="M12" s="72"/>
      <c r="N12" s="72"/>
      <c r="O12" s="72"/>
      <c r="P12" s="30" t="s">
        <v>403</v>
      </c>
      <c r="Q12" s="30" t="s">
        <v>48</v>
      </c>
      <c r="R12" s="30">
        <v>30.16</v>
      </c>
      <c r="S12" s="30" t="s">
        <v>49</v>
      </c>
      <c r="T12" s="30" t="s">
        <v>49</v>
      </c>
      <c r="U12" s="32" t="str">
        <f>IF(ISERR((S12-T12)*100/S12+100),"N/A",(S12-T12)*100/S12+100)</f>
        <v>N/A</v>
      </c>
    </row>
    <row r="13" spans="1:34" ht="75" customHeight="1" thickTop="1">
      <c r="A13" s="25"/>
      <c r="B13" s="26" t="s">
        <v>62</v>
      </c>
      <c r="C13" s="73" t="s">
        <v>404</v>
      </c>
      <c r="D13" s="73"/>
      <c r="E13" s="73"/>
      <c r="F13" s="73"/>
      <c r="G13" s="73"/>
      <c r="H13" s="73"/>
      <c r="I13" s="73" t="s">
        <v>405</v>
      </c>
      <c r="J13" s="73"/>
      <c r="K13" s="73"/>
      <c r="L13" s="73" t="s">
        <v>406</v>
      </c>
      <c r="M13" s="73"/>
      <c r="N13" s="73"/>
      <c r="O13" s="73"/>
      <c r="P13" s="27" t="s">
        <v>407</v>
      </c>
      <c r="Q13" s="27" t="s">
        <v>408</v>
      </c>
      <c r="R13" s="27">
        <v>5.42</v>
      </c>
      <c r="S13" s="27" t="s">
        <v>49</v>
      </c>
      <c r="T13" s="27" t="s">
        <v>49</v>
      </c>
      <c r="U13" s="28" t="str">
        <f t="shared" ref="U13:U26" si="0">IF(ISERR(T13/S13*100),"N/A",T13/S13*100)</f>
        <v>N/A</v>
      </c>
    </row>
    <row r="14" spans="1:34" ht="75" customHeight="1" thickBot="1">
      <c r="A14" s="25"/>
      <c r="B14" s="29" t="s">
        <v>44</v>
      </c>
      <c r="C14" s="72" t="s">
        <v>44</v>
      </c>
      <c r="D14" s="72"/>
      <c r="E14" s="72"/>
      <c r="F14" s="72"/>
      <c r="G14" s="72"/>
      <c r="H14" s="72"/>
      <c r="I14" s="72" t="s">
        <v>409</v>
      </c>
      <c r="J14" s="72"/>
      <c r="K14" s="72"/>
      <c r="L14" s="72" t="s">
        <v>410</v>
      </c>
      <c r="M14" s="72"/>
      <c r="N14" s="72"/>
      <c r="O14" s="72"/>
      <c r="P14" s="30" t="s">
        <v>411</v>
      </c>
      <c r="Q14" s="30" t="s">
        <v>412</v>
      </c>
      <c r="R14" s="30">
        <v>93.37</v>
      </c>
      <c r="S14" s="30">
        <v>93.37</v>
      </c>
      <c r="T14" s="30">
        <v>93.18</v>
      </c>
      <c r="U14" s="32">
        <f t="shared" si="0"/>
        <v>99.796508514512155</v>
      </c>
    </row>
    <row r="15" spans="1:34" ht="75" customHeight="1" thickTop="1">
      <c r="A15" s="25"/>
      <c r="B15" s="26" t="s">
        <v>71</v>
      </c>
      <c r="C15" s="73" t="s">
        <v>413</v>
      </c>
      <c r="D15" s="73"/>
      <c r="E15" s="73"/>
      <c r="F15" s="73"/>
      <c r="G15" s="73"/>
      <c r="H15" s="73"/>
      <c r="I15" s="73" t="s">
        <v>414</v>
      </c>
      <c r="J15" s="73"/>
      <c r="K15" s="73"/>
      <c r="L15" s="73" t="s">
        <v>415</v>
      </c>
      <c r="M15" s="73"/>
      <c r="N15" s="73"/>
      <c r="O15" s="73"/>
      <c r="P15" s="27" t="s">
        <v>47</v>
      </c>
      <c r="Q15" s="27" t="s">
        <v>139</v>
      </c>
      <c r="R15" s="27">
        <v>101</v>
      </c>
      <c r="S15" s="27">
        <v>101</v>
      </c>
      <c r="T15" s="27">
        <v>-9.35</v>
      </c>
      <c r="U15" s="28">
        <f t="shared" si="0"/>
        <v>-9.2574257425742577</v>
      </c>
    </row>
    <row r="16" spans="1:34" ht="75" customHeight="1">
      <c r="A16" s="25"/>
      <c r="B16" s="29" t="s">
        <v>44</v>
      </c>
      <c r="C16" s="72" t="s">
        <v>416</v>
      </c>
      <c r="D16" s="72"/>
      <c r="E16" s="72"/>
      <c r="F16" s="72"/>
      <c r="G16" s="72"/>
      <c r="H16" s="72"/>
      <c r="I16" s="72" t="s">
        <v>417</v>
      </c>
      <c r="J16" s="72"/>
      <c r="K16" s="72"/>
      <c r="L16" s="72" t="s">
        <v>418</v>
      </c>
      <c r="M16" s="72"/>
      <c r="N16" s="72"/>
      <c r="O16" s="72"/>
      <c r="P16" s="30" t="s">
        <v>419</v>
      </c>
      <c r="Q16" s="30" t="s">
        <v>139</v>
      </c>
      <c r="R16" s="30">
        <v>4</v>
      </c>
      <c r="S16" s="30">
        <v>4</v>
      </c>
      <c r="T16" s="30">
        <v>-5.71</v>
      </c>
      <c r="U16" s="32">
        <f t="shared" si="0"/>
        <v>-142.75</v>
      </c>
    </row>
    <row r="17" spans="1:22" ht="75" customHeight="1" thickBot="1">
      <c r="A17" s="25"/>
      <c r="B17" s="29" t="s">
        <v>44</v>
      </c>
      <c r="C17" s="72" t="s">
        <v>420</v>
      </c>
      <c r="D17" s="72"/>
      <c r="E17" s="72"/>
      <c r="F17" s="72"/>
      <c r="G17" s="72"/>
      <c r="H17" s="72"/>
      <c r="I17" s="72" t="s">
        <v>421</v>
      </c>
      <c r="J17" s="72"/>
      <c r="K17" s="72"/>
      <c r="L17" s="72" t="s">
        <v>422</v>
      </c>
      <c r="M17" s="72"/>
      <c r="N17" s="72"/>
      <c r="O17" s="72"/>
      <c r="P17" s="30" t="s">
        <v>47</v>
      </c>
      <c r="Q17" s="30" t="s">
        <v>139</v>
      </c>
      <c r="R17" s="30">
        <v>3.51</v>
      </c>
      <c r="S17" s="30">
        <v>3.51</v>
      </c>
      <c r="T17" s="30">
        <v>-20.23</v>
      </c>
      <c r="U17" s="32">
        <f t="shared" si="0"/>
        <v>-576.35327635327633</v>
      </c>
    </row>
    <row r="18" spans="1:22" ht="75" customHeight="1" thickTop="1">
      <c r="A18" s="25"/>
      <c r="B18" s="26" t="s">
        <v>87</v>
      </c>
      <c r="C18" s="73" t="s">
        <v>423</v>
      </c>
      <c r="D18" s="73"/>
      <c r="E18" s="73"/>
      <c r="F18" s="73"/>
      <c r="G18" s="73"/>
      <c r="H18" s="73"/>
      <c r="I18" s="73" t="s">
        <v>424</v>
      </c>
      <c r="J18" s="73"/>
      <c r="K18" s="73"/>
      <c r="L18" s="73" t="s">
        <v>425</v>
      </c>
      <c r="M18" s="73"/>
      <c r="N18" s="73"/>
      <c r="O18" s="73"/>
      <c r="P18" s="27" t="s">
        <v>47</v>
      </c>
      <c r="Q18" s="27" t="s">
        <v>91</v>
      </c>
      <c r="R18" s="27">
        <v>100</v>
      </c>
      <c r="S18" s="27">
        <v>100</v>
      </c>
      <c r="T18" s="27">
        <v>89.16</v>
      </c>
      <c r="U18" s="28">
        <f t="shared" si="0"/>
        <v>89.16</v>
      </c>
    </row>
    <row r="19" spans="1:22" ht="75" customHeight="1">
      <c r="A19" s="25"/>
      <c r="B19" s="29" t="s">
        <v>44</v>
      </c>
      <c r="C19" s="72" t="s">
        <v>426</v>
      </c>
      <c r="D19" s="72"/>
      <c r="E19" s="72"/>
      <c r="F19" s="72"/>
      <c r="G19" s="72"/>
      <c r="H19" s="72"/>
      <c r="I19" s="72" t="s">
        <v>427</v>
      </c>
      <c r="J19" s="72"/>
      <c r="K19" s="72"/>
      <c r="L19" s="72" t="s">
        <v>428</v>
      </c>
      <c r="M19" s="72"/>
      <c r="N19" s="72"/>
      <c r="O19" s="72"/>
      <c r="P19" s="30" t="s">
        <v>47</v>
      </c>
      <c r="Q19" s="30" t="s">
        <v>91</v>
      </c>
      <c r="R19" s="30">
        <v>100</v>
      </c>
      <c r="S19" s="30">
        <v>100</v>
      </c>
      <c r="T19" s="30">
        <v>93.33</v>
      </c>
      <c r="U19" s="32">
        <f t="shared" si="0"/>
        <v>93.33</v>
      </c>
    </row>
    <row r="20" spans="1:22" ht="75" customHeight="1">
      <c r="A20" s="25"/>
      <c r="B20" s="29" t="s">
        <v>44</v>
      </c>
      <c r="C20" s="72" t="s">
        <v>429</v>
      </c>
      <c r="D20" s="72"/>
      <c r="E20" s="72"/>
      <c r="F20" s="72"/>
      <c r="G20" s="72"/>
      <c r="H20" s="72"/>
      <c r="I20" s="72" t="s">
        <v>430</v>
      </c>
      <c r="J20" s="72"/>
      <c r="K20" s="72"/>
      <c r="L20" s="72" t="s">
        <v>431</v>
      </c>
      <c r="M20" s="72"/>
      <c r="N20" s="72"/>
      <c r="O20" s="72"/>
      <c r="P20" s="30" t="s">
        <v>47</v>
      </c>
      <c r="Q20" s="30" t="s">
        <v>91</v>
      </c>
      <c r="R20" s="30">
        <v>100</v>
      </c>
      <c r="S20" s="30">
        <v>100</v>
      </c>
      <c r="T20" s="30">
        <v>90.02</v>
      </c>
      <c r="U20" s="32">
        <f t="shared" si="0"/>
        <v>90.02</v>
      </c>
    </row>
    <row r="21" spans="1:22" ht="75" customHeight="1">
      <c r="A21" s="25"/>
      <c r="B21" s="29" t="s">
        <v>44</v>
      </c>
      <c r="C21" s="72" t="s">
        <v>432</v>
      </c>
      <c r="D21" s="72"/>
      <c r="E21" s="72"/>
      <c r="F21" s="72"/>
      <c r="G21" s="72"/>
      <c r="H21" s="72"/>
      <c r="I21" s="72" t="s">
        <v>433</v>
      </c>
      <c r="J21" s="72"/>
      <c r="K21" s="72"/>
      <c r="L21" s="72" t="s">
        <v>434</v>
      </c>
      <c r="M21" s="72"/>
      <c r="N21" s="72"/>
      <c r="O21" s="72"/>
      <c r="P21" s="30" t="s">
        <v>47</v>
      </c>
      <c r="Q21" s="30" t="s">
        <v>91</v>
      </c>
      <c r="R21" s="30">
        <v>100</v>
      </c>
      <c r="S21" s="30">
        <v>100</v>
      </c>
      <c r="T21" s="30">
        <v>90</v>
      </c>
      <c r="U21" s="32">
        <f t="shared" si="0"/>
        <v>90</v>
      </c>
    </row>
    <row r="22" spans="1:22" ht="75" customHeight="1">
      <c r="A22" s="25"/>
      <c r="B22" s="29" t="s">
        <v>44</v>
      </c>
      <c r="C22" s="72" t="s">
        <v>435</v>
      </c>
      <c r="D22" s="72"/>
      <c r="E22" s="72"/>
      <c r="F22" s="72"/>
      <c r="G22" s="72"/>
      <c r="H22" s="72"/>
      <c r="I22" s="72" t="s">
        <v>436</v>
      </c>
      <c r="J22" s="72"/>
      <c r="K22" s="72"/>
      <c r="L22" s="72" t="s">
        <v>437</v>
      </c>
      <c r="M22" s="72"/>
      <c r="N22" s="72"/>
      <c r="O22" s="72"/>
      <c r="P22" s="30" t="s">
        <v>47</v>
      </c>
      <c r="Q22" s="30" t="s">
        <v>91</v>
      </c>
      <c r="R22" s="30">
        <v>100</v>
      </c>
      <c r="S22" s="30">
        <v>100</v>
      </c>
      <c r="T22" s="30">
        <v>85.26</v>
      </c>
      <c r="U22" s="32">
        <f t="shared" si="0"/>
        <v>85.26</v>
      </c>
    </row>
    <row r="23" spans="1:22" ht="75" customHeight="1">
      <c r="A23" s="25"/>
      <c r="B23" s="29" t="s">
        <v>44</v>
      </c>
      <c r="C23" s="72" t="s">
        <v>438</v>
      </c>
      <c r="D23" s="72"/>
      <c r="E23" s="72"/>
      <c r="F23" s="72"/>
      <c r="G23" s="72"/>
      <c r="H23" s="72"/>
      <c r="I23" s="72" t="s">
        <v>439</v>
      </c>
      <c r="J23" s="72"/>
      <c r="K23" s="72"/>
      <c r="L23" s="72" t="s">
        <v>440</v>
      </c>
      <c r="M23" s="72"/>
      <c r="N23" s="72"/>
      <c r="O23" s="72"/>
      <c r="P23" s="30" t="s">
        <v>441</v>
      </c>
      <c r="Q23" s="30" t="s">
        <v>442</v>
      </c>
      <c r="R23" s="30">
        <v>100</v>
      </c>
      <c r="S23" s="30">
        <v>100</v>
      </c>
      <c r="T23" s="30">
        <v>100</v>
      </c>
      <c r="U23" s="32">
        <f t="shared" si="0"/>
        <v>100</v>
      </c>
    </row>
    <row r="24" spans="1:22" ht="75" customHeight="1">
      <c r="A24" s="25"/>
      <c r="B24" s="29" t="s">
        <v>44</v>
      </c>
      <c r="C24" s="72" t="s">
        <v>443</v>
      </c>
      <c r="D24" s="72"/>
      <c r="E24" s="72"/>
      <c r="F24" s="72"/>
      <c r="G24" s="72"/>
      <c r="H24" s="72"/>
      <c r="I24" s="72" t="s">
        <v>444</v>
      </c>
      <c r="J24" s="72"/>
      <c r="K24" s="72"/>
      <c r="L24" s="72" t="s">
        <v>445</v>
      </c>
      <c r="M24" s="72"/>
      <c r="N24" s="72"/>
      <c r="O24" s="72"/>
      <c r="P24" s="30" t="s">
        <v>407</v>
      </c>
      <c r="Q24" s="30" t="s">
        <v>91</v>
      </c>
      <c r="R24" s="30">
        <v>5</v>
      </c>
      <c r="S24" s="30">
        <v>5</v>
      </c>
      <c r="T24" s="30">
        <v>8.06</v>
      </c>
      <c r="U24" s="32">
        <f t="shared" si="0"/>
        <v>161.20000000000002</v>
      </c>
    </row>
    <row r="25" spans="1:22" ht="75" customHeight="1">
      <c r="A25" s="25"/>
      <c r="B25" s="29" t="s">
        <v>44</v>
      </c>
      <c r="C25" s="72" t="s">
        <v>446</v>
      </c>
      <c r="D25" s="72"/>
      <c r="E25" s="72"/>
      <c r="F25" s="72"/>
      <c r="G25" s="72"/>
      <c r="H25" s="72"/>
      <c r="I25" s="72" t="s">
        <v>447</v>
      </c>
      <c r="J25" s="72"/>
      <c r="K25" s="72"/>
      <c r="L25" s="72" t="s">
        <v>448</v>
      </c>
      <c r="M25" s="72"/>
      <c r="N25" s="72"/>
      <c r="O25" s="72"/>
      <c r="P25" s="30" t="s">
        <v>47</v>
      </c>
      <c r="Q25" s="30" t="s">
        <v>91</v>
      </c>
      <c r="R25" s="30">
        <v>22.22</v>
      </c>
      <c r="S25" s="30">
        <v>22.22</v>
      </c>
      <c r="T25" s="30">
        <v>17.28</v>
      </c>
      <c r="U25" s="32">
        <f t="shared" si="0"/>
        <v>77.767776777677781</v>
      </c>
    </row>
    <row r="26" spans="1:22" ht="75" customHeight="1" thickBot="1">
      <c r="A26" s="25"/>
      <c r="B26" s="29" t="s">
        <v>44</v>
      </c>
      <c r="C26" s="72" t="s">
        <v>44</v>
      </c>
      <c r="D26" s="72"/>
      <c r="E26" s="72"/>
      <c r="F26" s="72"/>
      <c r="G26" s="72"/>
      <c r="H26" s="72"/>
      <c r="I26" s="72" t="s">
        <v>449</v>
      </c>
      <c r="J26" s="72"/>
      <c r="K26" s="72"/>
      <c r="L26" s="72" t="s">
        <v>450</v>
      </c>
      <c r="M26" s="72"/>
      <c r="N26" s="72"/>
      <c r="O26" s="72"/>
      <c r="P26" s="30" t="s">
        <v>451</v>
      </c>
      <c r="Q26" s="30" t="s">
        <v>91</v>
      </c>
      <c r="R26" s="30">
        <v>35.200000000000003</v>
      </c>
      <c r="S26" s="30">
        <v>35.200000000000003</v>
      </c>
      <c r="T26" s="30">
        <v>43.66</v>
      </c>
      <c r="U26" s="32">
        <f t="shared" si="0"/>
        <v>124.03409090909091</v>
      </c>
    </row>
    <row r="27" spans="1:22" ht="22.5" customHeight="1" thickTop="1" thickBot="1">
      <c r="B27" s="8" t="s">
        <v>98</v>
      </c>
      <c r="C27" s="9"/>
      <c r="D27" s="9"/>
      <c r="E27" s="9"/>
      <c r="F27" s="9"/>
      <c r="G27" s="9"/>
      <c r="H27" s="10"/>
      <c r="I27" s="10"/>
      <c r="J27" s="10"/>
      <c r="K27" s="10"/>
      <c r="L27" s="10"/>
      <c r="M27" s="10"/>
      <c r="N27" s="10"/>
      <c r="O27" s="10"/>
      <c r="P27" s="10"/>
      <c r="Q27" s="10"/>
      <c r="R27" s="10"/>
      <c r="S27" s="10"/>
      <c r="T27" s="10"/>
      <c r="U27" s="11"/>
      <c r="V27" s="33"/>
    </row>
    <row r="28" spans="1:22" ht="26.25" customHeight="1" thickTop="1">
      <c r="B28" s="34"/>
      <c r="C28" s="35"/>
      <c r="D28" s="35"/>
      <c r="E28" s="35"/>
      <c r="F28" s="35"/>
      <c r="G28" s="35"/>
      <c r="H28" s="36"/>
      <c r="I28" s="36"/>
      <c r="J28" s="36"/>
      <c r="K28" s="36"/>
      <c r="L28" s="36"/>
      <c r="M28" s="36"/>
      <c r="N28" s="36"/>
      <c r="O28" s="36"/>
      <c r="P28" s="37"/>
      <c r="Q28" s="38"/>
      <c r="R28" s="39" t="s">
        <v>99</v>
      </c>
      <c r="S28" s="22" t="s">
        <v>100</v>
      </c>
      <c r="T28" s="39" t="s">
        <v>101</v>
      </c>
      <c r="U28" s="22" t="s">
        <v>102</v>
      </c>
    </row>
    <row r="29" spans="1:22" ht="26.25" customHeight="1" thickBot="1">
      <c r="B29" s="40"/>
      <c r="C29" s="41"/>
      <c r="D29" s="41"/>
      <c r="E29" s="41"/>
      <c r="F29" s="41"/>
      <c r="G29" s="41"/>
      <c r="H29" s="42"/>
      <c r="I29" s="42"/>
      <c r="J29" s="42"/>
      <c r="K29" s="42"/>
      <c r="L29" s="42"/>
      <c r="M29" s="42"/>
      <c r="N29" s="42"/>
      <c r="O29" s="42"/>
      <c r="P29" s="43"/>
      <c r="Q29" s="44"/>
      <c r="R29" s="45" t="s">
        <v>103</v>
      </c>
      <c r="S29" s="44" t="s">
        <v>103</v>
      </c>
      <c r="T29" s="44" t="s">
        <v>103</v>
      </c>
      <c r="U29" s="44" t="s">
        <v>104</v>
      </c>
    </row>
    <row r="30" spans="1:22" ht="13.5" customHeight="1" thickBot="1">
      <c r="B30" s="65" t="s">
        <v>105</v>
      </c>
      <c r="C30" s="66"/>
      <c r="D30" s="66"/>
      <c r="E30" s="46"/>
      <c r="F30" s="46"/>
      <c r="G30" s="46"/>
      <c r="H30" s="47"/>
      <c r="I30" s="47"/>
      <c r="J30" s="47"/>
      <c r="K30" s="47"/>
      <c r="L30" s="47"/>
      <c r="M30" s="47"/>
      <c r="N30" s="47"/>
      <c r="O30" s="47"/>
      <c r="P30" s="48"/>
      <c r="Q30" s="48"/>
      <c r="R30" s="49">
        <f>2079.426279</f>
        <v>2079.4262789999998</v>
      </c>
      <c r="S30" s="49">
        <f>1422.372314</f>
        <v>1422.372314</v>
      </c>
      <c r="T30" s="49">
        <f>1252.83756798</f>
        <v>1252.8375679799999</v>
      </c>
      <c r="U30" s="50">
        <f>+IF(ISERR(T30/S30*100),"N/A",T30/S30*100)</f>
        <v>88.080846037896094</v>
      </c>
    </row>
    <row r="31" spans="1:22" ht="13.5" customHeight="1" thickBot="1">
      <c r="B31" s="67" t="s">
        <v>106</v>
      </c>
      <c r="C31" s="68"/>
      <c r="D31" s="68"/>
      <c r="E31" s="51"/>
      <c r="F31" s="51"/>
      <c r="G31" s="51"/>
      <c r="H31" s="52"/>
      <c r="I31" s="52"/>
      <c r="J31" s="52"/>
      <c r="K31" s="52"/>
      <c r="L31" s="52"/>
      <c r="M31" s="52"/>
      <c r="N31" s="52"/>
      <c r="O31" s="52"/>
      <c r="P31" s="53"/>
      <c r="Q31" s="53"/>
      <c r="R31" s="49">
        <f>1940.810627</f>
        <v>1940.8106270000001</v>
      </c>
      <c r="S31" s="49">
        <f>1362.92872</f>
        <v>1362.9287200000001</v>
      </c>
      <c r="T31" s="49">
        <f>1252.83756798</f>
        <v>1252.8375679799999</v>
      </c>
      <c r="U31" s="50">
        <f>+IF(ISERR(T31/S31*100),"N/A",T31/S31*100)</f>
        <v>91.922457102525485</v>
      </c>
    </row>
    <row r="32" spans="1:22" ht="14.85" customHeight="1" thickTop="1" thickBot="1">
      <c r="B32" s="8" t="s">
        <v>107</v>
      </c>
      <c r="C32" s="9"/>
      <c r="D32" s="9"/>
      <c r="E32" s="9"/>
      <c r="F32" s="9"/>
      <c r="G32" s="9"/>
      <c r="H32" s="10"/>
      <c r="I32" s="10"/>
      <c r="J32" s="10"/>
      <c r="K32" s="10"/>
      <c r="L32" s="10"/>
      <c r="M32" s="10"/>
      <c r="N32" s="10"/>
      <c r="O32" s="10"/>
      <c r="P32" s="10"/>
      <c r="Q32" s="10"/>
      <c r="R32" s="10"/>
      <c r="S32" s="10"/>
      <c r="T32" s="10"/>
      <c r="U32" s="11"/>
    </row>
    <row r="33" spans="2:21" ht="44.25" customHeight="1" thickTop="1">
      <c r="B33" s="69" t="s">
        <v>108</v>
      </c>
      <c r="C33" s="70"/>
      <c r="D33" s="70"/>
      <c r="E33" s="70"/>
      <c r="F33" s="70"/>
      <c r="G33" s="70"/>
      <c r="H33" s="70"/>
      <c r="I33" s="70"/>
      <c r="J33" s="70"/>
      <c r="K33" s="70"/>
      <c r="L33" s="70"/>
      <c r="M33" s="70"/>
      <c r="N33" s="70"/>
      <c r="O33" s="70"/>
      <c r="P33" s="70"/>
      <c r="Q33" s="70"/>
      <c r="R33" s="70"/>
      <c r="S33" s="70"/>
      <c r="T33" s="70"/>
      <c r="U33" s="71"/>
    </row>
    <row r="34" spans="2:21" ht="34.5" customHeight="1">
      <c r="B34" s="59" t="s">
        <v>110</v>
      </c>
      <c r="C34" s="60"/>
      <c r="D34" s="60"/>
      <c r="E34" s="60"/>
      <c r="F34" s="60"/>
      <c r="G34" s="60"/>
      <c r="H34" s="60"/>
      <c r="I34" s="60"/>
      <c r="J34" s="60"/>
      <c r="K34" s="60"/>
      <c r="L34" s="60"/>
      <c r="M34" s="60"/>
      <c r="N34" s="60"/>
      <c r="O34" s="60"/>
      <c r="P34" s="60"/>
      <c r="Q34" s="60"/>
      <c r="R34" s="60"/>
      <c r="S34" s="60"/>
      <c r="T34" s="60"/>
      <c r="U34" s="61"/>
    </row>
    <row r="35" spans="2:21" ht="34.5" customHeight="1">
      <c r="B35" s="59" t="s">
        <v>452</v>
      </c>
      <c r="C35" s="60"/>
      <c r="D35" s="60"/>
      <c r="E35" s="60"/>
      <c r="F35" s="60"/>
      <c r="G35" s="60"/>
      <c r="H35" s="60"/>
      <c r="I35" s="60"/>
      <c r="J35" s="60"/>
      <c r="K35" s="60"/>
      <c r="L35" s="60"/>
      <c r="M35" s="60"/>
      <c r="N35" s="60"/>
      <c r="O35" s="60"/>
      <c r="P35" s="60"/>
      <c r="Q35" s="60"/>
      <c r="R35" s="60"/>
      <c r="S35" s="60"/>
      <c r="T35" s="60"/>
      <c r="U35" s="61"/>
    </row>
    <row r="36" spans="2:21" ht="34.5" customHeight="1">
      <c r="B36" s="59" t="s">
        <v>453</v>
      </c>
      <c r="C36" s="60"/>
      <c r="D36" s="60"/>
      <c r="E36" s="60"/>
      <c r="F36" s="60"/>
      <c r="G36" s="60"/>
      <c r="H36" s="60"/>
      <c r="I36" s="60"/>
      <c r="J36" s="60"/>
      <c r="K36" s="60"/>
      <c r="L36" s="60"/>
      <c r="M36" s="60"/>
      <c r="N36" s="60"/>
      <c r="O36" s="60"/>
      <c r="P36" s="60"/>
      <c r="Q36" s="60"/>
      <c r="R36" s="60"/>
      <c r="S36" s="60"/>
      <c r="T36" s="60"/>
      <c r="U36" s="61"/>
    </row>
    <row r="37" spans="2:21" ht="189.95" customHeight="1">
      <c r="B37" s="59" t="s">
        <v>454</v>
      </c>
      <c r="C37" s="60"/>
      <c r="D37" s="60"/>
      <c r="E37" s="60"/>
      <c r="F37" s="60"/>
      <c r="G37" s="60"/>
      <c r="H37" s="60"/>
      <c r="I37" s="60"/>
      <c r="J37" s="60"/>
      <c r="K37" s="60"/>
      <c r="L37" s="60"/>
      <c r="M37" s="60"/>
      <c r="N37" s="60"/>
      <c r="O37" s="60"/>
      <c r="P37" s="60"/>
      <c r="Q37" s="60"/>
      <c r="R37" s="60"/>
      <c r="S37" s="60"/>
      <c r="T37" s="60"/>
      <c r="U37" s="61"/>
    </row>
    <row r="38" spans="2:21" ht="236.45" customHeight="1">
      <c r="B38" s="59" t="s">
        <v>455</v>
      </c>
      <c r="C38" s="60"/>
      <c r="D38" s="60"/>
      <c r="E38" s="60"/>
      <c r="F38" s="60"/>
      <c r="G38" s="60"/>
      <c r="H38" s="60"/>
      <c r="I38" s="60"/>
      <c r="J38" s="60"/>
      <c r="K38" s="60"/>
      <c r="L38" s="60"/>
      <c r="M38" s="60"/>
      <c r="N38" s="60"/>
      <c r="O38" s="60"/>
      <c r="P38" s="60"/>
      <c r="Q38" s="60"/>
      <c r="R38" s="60"/>
      <c r="S38" s="60"/>
      <c r="T38" s="60"/>
      <c r="U38" s="61"/>
    </row>
    <row r="39" spans="2:21" ht="84.75" customHeight="1">
      <c r="B39" s="59" t="s">
        <v>456</v>
      </c>
      <c r="C39" s="60"/>
      <c r="D39" s="60"/>
      <c r="E39" s="60"/>
      <c r="F39" s="60"/>
      <c r="G39" s="60"/>
      <c r="H39" s="60"/>
      <c r="I39" s="60"/>
      <c r="J39" s="60"/>
      <c r="K39" s="60"/>
      <c r="L39" s="60"/>
      <c r="M39" s="60"/>
      <c r="N39" s="60"/>
      <c r="O39" s="60"/>
      <c r="P39" s="60"/>
      <c r="Q39" s="60"/>
      <c r="R39" s="60"/>
      <c r="S39" s="60"/>
      <c r="T39" s="60"/>
      <c r="U39" s="61"/>
    </row>
    <row r="40" spans="2:21" ht="81.599999999999994" customHeight="1">
      <c r="B40" s="59" t="s">
        <v>457</v>
      </c>
      <c r="C40" s="60"/>
      <c r="D40" s="60"/>
      <c r="E40" s="60"/>
      <c r="F40" s="60"/>
      <c r="G40" s="60"/>
      <c r="H40" s="60"/>
      <c r="I40" s="60"/>
      <c r="J40" s="60"/>
      <c r="K40" s="60"/>
      <c r="L40" s="60"/>
      <c r="M40" s="60"/>
      <c r="N40" s="60"/>
      <c r="O40" s="60"/>
      <c r="P40" s="60"/>
      <c r="Q40" s="60"/>
      <c r="R40" s="60"/>
      <c r="S40" s="60"/>
      <c r="T40" s="60"/>
      <c r="U40" s="61"/>
    </row>
    <row r="41" spans="2:21" ht="152.25" customHeight="1">
      <c r="B41" s="59" t="s">
        <v>458</v>
      </c>
      <c r="C41" s="60"/>
      <c r="D41" s="60"/>
      <c r="E41" s="60"/>
      <c r="F41" s="60"/>
      <c r="G41" s="60"/>
      <c r="H41" s="60"/>
      <c r="I41" s="60"/>
      <c r="J41" s="60"/>
      <c r="K41" s="60"/>
      <c r="L41" s="60"/>
      <c r="M41" s="60"/>
      <c r="N41" s="60"/>
      <c r="O41" s="60"/>
      <c r="P41" s="60"/>
      <c r="Q41" s="60"/>
      <c r="R41" s="60"/>
      <c r="S41" s="60"/>
      <c r="T41" s="60"/>
      <c r="U41" s="61"/>
    </row>
    <row r="42" spans="2:21" ht="152.85" customHeight="1">
      <c r="B42" s="59" t="s">
        <v>459</v>
      </c>
      <c r="C42" s="60"/>
      <c r="D42" s="60"/>
      <c r="E42" s="60"/>
      <c r="F42" s="60"/>
      <c r="G42" s="60"/>
      <c r="H42" s="60"/>
      <c r="I42" s="60"/>
      <c r="J42" s="60"/>
      <c r="K42" s="60"/>
      <c r="L42" s="60"/>
      <c r="M42" s="60"/>
      <c r="N42" s="60"/>
      <c r="O42" s="60"/>
      <c r="P42" s="60"/>
      <c r="Q42" s="60"/>
      <c r="R42" s="60"/>
      <c r="S42" s="60"/>
      <c r="T42" s="60"/>
      <c r="U42" s="61"/>
    </row>
    <row r="43" spans="2:21" ht="160.5" customHeight="1">
      <c r="B43" s="59" t="s">
        <v>460</v>
      </c>
      <c r="C43" s="60"/>
      <c r="D43" s="60"/>
      <c r="E43" s="60"/>
      <c r="F43" s="60"/>
      <c r="G43" s="60"/>
      <c r="H43" s="60"/>
      <c r="I43" s="60"/>
      <c r="J43" s="60"/>
      <c r="K43" s="60"/>
      <c r="L43" s="60"/>
      <c r="M43" s="60"/>
      <c r="N43" s="60"/>
      <c r="O43" s="60"/>
      <c r="P43" s="60"/>
      <c r="Q43" s="60"/>
      <c r="R43" s="60"/>
      <c r="S43" s="60"/>
      <c r="T43" s="60"/>
      <c r="U43" s="61"/>
    </row>
    <row r="44" spans="2:21" ht="229.7" customHeight="1">
      <c r="B44" s="59" t="s">
        <v>461</v>
      </c>
      <c r="C44" s="60"/>
      <c r="D44" s="60"/>
      <c r="E44" s="60"/>
      <c r="F44" s="60"/>
      <c r="G44" s="60"/>
      <c r="H44" s="60"/>
      <c r="I44" s="60"/>
      <c r="J44" s="60"/>
      <c r="K44" s="60"/>
      <c r="L44" s="60"/>
      <c r="M44" s="60"/>
      <c r="N44" s="60"/>
      <c r="O44" s="60"/>
      <c r="P44" s="60"/>
      <c r="Q44" s="60"/>
      <c r="R44" s="60"/>
      <c r="S44" s="60"/>
      <c r="T44" s="60"/>
      <c r="U44" s="61"/>
    </row>
    <row r="45" spans="2:21" ht="162.75" customHeight="1">
      <c r="B45" s="59" t="s">
        <v>462</v>
      </c>
      <c r="C45" s="60"/>
      <c r="D45" s="60"/>
      <c r="E45" s="60"/>
      <c r="F45" s="60"/>
      <c r="G45" s="60"/>
      <c r="H45" s="60"/>
      <c r="I45" s="60"/>
      <c r="J45" s="60"/>
      <c r="K45" s="60"/>
      <c r="L45" s="60"/>
      <c r="M45" s="60"/>
      <c r="N45" s="60"/>
      <c r="O45" s="60"/>
      <c r="P45" s="60"/>
      <c r="Q45" s="60"/>
      <c r="R45" s="60"/>
      <c r="S45" s="60"/>
      <c r="T45" s="60"/>
      <c r="U45" s="61"/>
    </row>
    <row r="46" spans="2:21" ht="27.6" customHeight="1">
      <c r="B46" s="59" t="s">
        <v>463</v>
      </c>
      <c r="C46" s="60"/>
      <c r="D46" s="60"/>
      <c r="E46" s="60"/>
      <c r="F46" s="60"/>
      <c r="G46" s="60"/>
      <c r="H46" s="60"/>
      <c r="I46" s="60"/>
      <c r="J46" s="60"/>
      <c r="K46" s="60"/>
      <c r="L46" s="60"/>
      <c r="M46" s="60"/>
      <c r="N46" s="60"/>
      <c r="O46" s="60"/>
      <c r="P46" s="60"/>
      <c r="Q46" s="60"/>
      <c r="R46" s="60"/>
      <c r="S46" s="60"/>
      <c r="T46" s="60"/>
      <c r="U46" s="61"/>
    </row>
    <row r="47" spans="2:21" ht="77.25" customHeight="1">
      <c r="B47" s="59" t="s">
        <v>464</v>
      </c>
      <c r="C47" s="60"/>
      <c r="D47" s="60"/>
      <c r="E47" s="60"/>
      <c r="F47" s="60"/>
      <c r="G47" s="60"/>
      <c r="H47" s="60"/>
      <c r="I47" s="60"/>
      <c r="J47" s="60"/>
      <c r="K47" s="60"/>
      <c r="L47" s="60"/>
      <c r="M47" s="60"/>
      <c r="N47" s="60"/>
      <c r="O47" s="60"/>
      <c r="P47" s="60"/>
      <c r="Q47" s="60"/>
      <c r="R47" s="60"/>
      <c r="S47" s="60"/>
      <c r="T47" s="60"/>
      <c r="U47" s="61"/>
    </row>
    <row r="48" spans="2:21" ht="44.1" customHeight="1">
      <c r="B48" s="59" t="s">
        <v>465</v>
      </c>
      <c r="C48" s="60"/>
      <c r="D48" s="60"/>
      <c r="E48" s="60"/>
      <c r="F48" s="60"/>
      <c r="G48" s="60"/>
      <c r="H48" s="60"/>
      <c r="I48" s="60"/>
      <c r="J48" s="60"/>
      <c r="K48" s="60"/>
      <c r="L48" s="60"/>
      <c r="M48" s="60"/>
      <c r="N48" s="60"/>
      <c r="O48" s="60"/>
      <c r="P48" s="60"/>
      <c r="Q48" s="60"/>
      <c r="R48" s="60"/>
      <c r="S48" s="60"/>
      <c r="T48" s="60"/>
      <c r="U48" s="61"/>
    </row>
    <row r="49" spans="2:21" ht="50.85" customHeight="1" thickBot="1">
      <c r="B49" s="62" t="s">
        <v>466</v>
      </c>
      <c r="C49" s="63"/>
      <c r="D49" s="63"/>
      <c r="E49" s="63"/>
      <c r="F49" s="63"/>
      <c r="G49" s="63"/>
      <c r="H49" s="63"/>
      <c r="I49" s="63"/>
      <c r="J49" s="63"/>
      <c r="K49" s="63"/>
      <c r="L49" s="63"/>
      <c r="M49" s="63"/>
      <c r="N49" s="63"/>
      <c r="O49" s="63"/>
      <c r="P49" s="63"/>
      <c r="Q49" s="63"/>
      <c r="R49" s="63"/>
      <c r="S49" s="63"/>
      <c r="T49" s="63"/>
      <c r="U49" s="64"/>
    </row>
  </sheetData>
  <mergeCells count="88">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C22:H22"/>
    <mergeCell ref="I22:K22"/>
    <mergeCell ref="L22:O22"/>
    <mergeCell ref="C23:H23"/>
    <mergeCell ref="I23:K23"/>
    <mergeCell ref="L23:O23"/>
    <mergeCell ref="C24:H24"/>
    <mergeCell ref="I24:K24"/>
    <mergeCell ref="L24:O24"/>
    <mergeCell ref="C25:H25"/>
    <mergeCell ref="I25:K25"/>
    <mergeCell ref="L25:O25"/>
    <mergeCell ref="B39:U39"/>
    <mergeCell ref="C26:H26"/>
    <mergeCell ref="I26:K26"/>
    <mergeCell ref="L26:O26"/>
    <mergeCell ref="B30:D30"/>
    <mergeCell ref="B31:D31"/>
    <mergeCell ref="B33:U33"/>
    <mergeCell ref="B34:U34"/>
    <mergeCell ref="B35:U35"/>
    <mergeCell ref="B36:U36"/>
    <mergeCell ref="B37:U37"/>
    <mergeCell ref="B38:U38"/>
    <mergeCell ref="B46:U46"/>
    <mergeCell ref="B47:U47"/>
    <mergeCell ref="B48:U48"/>
    <mergeCell ref="B49:U49"/>
    <mergeCell ref="B40:U40"/>
    <mergeCell ref="B41:U41"/>
    <mergeCell ref="B42:U42"/>
    <mergeCell ref="B43:U43"/>
    <mergeCell ref="B44:U44"/>
    <mergeCell ref="B45:U45"/>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J7" sqref="J7"/>
    </sheetView>
  </sheetViews>
  <sheetFormatPr baseColWidth="10" defaultColWidth="10" defaultRowHeight="12.75"/>
  <cols>
    <col min="1" max="1" width="3.42578125" style="1" customWidth="1"/>
    <col min="2" max="2" width="13.7109375" style="1" customWidth="1"/>
    <col min="3" max="3" width="5.85546875" style="1" customWidth="1"/>
    <col min="4" max="4" width="8.5703125" style="1" customWidth="1"/>
    <col min="5" max="5" width="9.7109375" style="1" customWidth="1"/>
    <col min="6" max="6" width="4.42578125" style="1" customWidth="1"/>
    <col min="7" max="7" width="0.28515625" style="1" customWidth="1"/>
    <col min="8" max="8" width="2.28515625" style="1" customWidth="1"/>
    <col min="9" max="9" width="6.5703125" style="1" customWidth="1"/>
    <col min="10" max="10" width="7.85546875" style="1" customWidth="1"/>
    <col min="11" max="11" width="9.42578125" style="1" customWidth="1"/>
    <col min="12" max="12" width="7.7109375" style="1" customWidth="1"/>
    <col min="13" max="13" width="6.140625" style="1" customWidth="1"/>
    <col min="14" max="14" width="8.28515625" style="1" customWidth="1"/>
    <col min="15" max="15" width="11.140625" style="1" customWidth="1"/>
    <col min="16" max="16" width="11.5703125" style="1" customWidth="1"/>
    <col min="17" max="17" width="12.140625" style="1" customWidth="1"/>
    <col min="18" max="18" width="9" style="1" customWidth="1"/>
    <col min="19" max="19" width="13" style="1" customWidth="1"/>
    <col min="20" max="20" width="10.7109375" style="1" customWidth="1"/>
    <col min="21" max="21" width="10.42578125" style="1" customWidth="1"/>
    <col min="22" max="22" width="11.42578125" style="1" customWidth="1"/>
    <col min="23" max="23" width="10.7109375" style="1" customWidth="1"/>
    <col min="24" max="24" width="8.42578125" style="1" customWidth="1"/>
    <col min="25" max="25" width="8.7109375" style="1" customWidth="1"/>
    <col min="26" max="26" width="9.5703125" style="1" customWidth="1"/>
    <col min="27" max="29" width="10" style="1"/>
    <col min="30" max="30" width="15.42578125" style="1" customWidth="1"/>
    <col min="31" max="16384" width="10" style="1"/>
  </cols>
  <sheetData>
    <row r="1" spans="1:34" s="2" customFormat="1" ht="48" customHeight="1">
      <c r="A1" s="3"/>
      <c r="B1" s="98" t="s">
        <v>583</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467</v>
      </c>
      <c r="D4" s="99" t="s">
        <v>468</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v>
      </c>
      <c r="D6" s="80"/>
      <c r="E6" s="80"/>
      <c r="F6" s="80"/>
      <c r="G6" s="80"/>
      <c r="H6" s="18"/>
      <c r="I6" s="18"/>
      <c r="J6" s="18" t="s">
        <v>18</v>
      </c>
      <c r="K6" s="80" t="s">
        <v>273</v>
      </c>
      <c r="L6" s="80"/>
      <c r="M6" s="80"/>
      <c r="N6" s="19"/>
      <c r="O6" s="20" t="s">
        <v>20</v>
      </c>
      <c r="P6" s="80" t="s">
        <v>469</v>
      </c>
      <c r="Q6" s="80"/>
      <c r="R6" s="21"/>
      <c r="S6" s="20" t="s">
        <v>22</v>
      </c>
      <c r="T6" s="80" t="s">
        <v>470</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c r="A11" s="25"/>
      <c r="B11" s="26" t="s">
        <v>38</v>
      </c>
      <c r="C11" s="73" t="s">
        <v>471</v>
      </c>
      <c r="D11" s="73"/>
      <c r="E11" s="73"/>
      <c r="F11" s="73"/>
      <c r="G11" s="73"/>
      <c r="H11" s="73"/>
      <c r="I11" s="73" t="s">
        <v>472</v>
      </c>
      <c r="J11" s="73"/>
      <c r="K11" s="73"/>
      <c r="L11" s="73" t="s">
        <v>473</v>
      </c>
      <c r="M11" s="73"/>
      <c r="N11" s="73"/>
      <c r="O11" s="73"/>
      <c r="P11" s="27" t="s">
        <v>47</v>
      </c>
      <c r="Q11" s="27" t="s">
        <v>43</v>
      </c>
      <c r="R11" s="27">
        <v>6.91</v>
      </c>
      <c r="S11" s="27">
        <v>6.91</v>
      </c>
      <c r="T11" s="27">
        <v>7.25</v>
      </c>
      <c r="U11" s="28">
        <f>IF(ISERR(T11/S11*100),"N/A",T11/S11*100)</f>
        <v>104.92040520984081</v>
      </c>
    </row>
    <row r="12" spans="1:34" ht="75" customHeight="1" thickBot="1">
      <c r="A12" s="25"/>
      <c r="B12" s="29" t="s">
        <v>44</v>
      </c>
      <c r="C12" s="72" t="s">
        <v>44</v>
      </c>
      <c r="D12" s="72"/>
      <c r="E12" s="72"/>
      <c r="F12" s="72"/>
      <c r="G12" s="72"/>
      <c r="H12" s="72"/>
      <c r="I12" s="72" t="s">
        <v>474</v>
      </c>
      <c r="J12" s="72"/>
      <c r="K12" s="72"/>
      <c r="L12" s="72" t="s">
        <v>475</v>
      </c>
      <c r="M12" s="72"/>
      <c r="N12" s="72"/>
      <c r="O12" s="72"/>
      <c r="P12" s="30" t="s">
        <v>476</v>
      </c>
      <c r="Q12" s="30" t="s">
        <v>43</v>
      </c>
      <c r="R12" s="31">
        <v>65</v>
      </c>
      <c r="S12" s="31" t="s">
        <v>49</v>
      </c>
      <c r="T12" s="31">
        <v>65.3</v>
      </c>
      <c r="U12" s="32" t="str">
        <f>IF(ISERR(T12/S12*100),"N/A",T12/S12*100)</f>
        <v>N/A</v>
      </c>
    </row>
    <row r="13" spans="1:34" ht="75" customHeight="1" thickTop="1" thickBot="1">
      <c r="A13" s="25"/>
      <c r="B13" s="26" t="s">
        <v>62</v>
      </c>
      <c r="C13" s="73" t="s">
        <v>477</v>
      </c>
      <c r="D13" s="73"/>
      <c r="E13" s="73"/>
      <c r="F13" s="73"/>
      <c r="G13" s="73"/>
      <c r="H13" s="73"/>
      <c r="I13" s="73" t="s">
        <v>478</v>
      </c>
      <c r="J13" s="73"/>
      <c r="K13" s="73"/>
      <c r="L13" s="73" t="s">
        <v>479</v>
      </c>
      <c r="M13" s="73"/>
      <c r="N13" s="73"/>
      <c r="O13" s="73"/>
      <c r="P13" s="27" t="s">
        <v>47</v>
      </c>
      <c r="Q13" s="27" t="s">
        <v>43</v>
      </c>
      <c r="R13" s="27">
        <v>99</v>
      </c>
      <c r="S13" s="27">
        <v>99</v>
      </c>
      <c r="T13" s="27">
        <v>99.71</v>
      </c>
      <c r="U13" s="28">
        <f>IF(ISERR(T13/S13*100),"N/A",T13/S13*100)</f>
        <v>100.71717171717171</v>
      </c>
    </row>
    <row r="14" spans="1:34" ht="75" customHeight="1" thickTop="1" thickBot="1">
      <c r="A14" s="25"/>
      <c r="B14" s="26" t="s">
        <v>71</v>
      </c>
      <c r="C14" s="73" t="s">
        <v>480</v>
      </c>
      <c r="D14" s="73"/>
      <c r="E14" s="73"/>
      <c r="F14" s="73"/>
      <c r="G14" s="73"/>
      <c r="H14" s="73"/>
      <c r="I14" s="73" t="s">
        <v>481</v>
      </c>
      <c r="J14" s="73"/>
      <c r="K14" s="73"/>
      <c r="L14" s="73" t="s">
        <v>482</v>
      </c>
      <c r="M14" s="73"/>
      <c r="N14" s="73"/>
      <c r="O14" s="73"/>
      <c r="P14" s="27" t="s">
        <v>47</v>
      </c>
      <c r="Q14" s="27" t="s">
        <v>75</v>
      </c>
      <c r="R14" s="27">
        <v>97</v>
      </c>
      <c r="S14" s="27">
        <v>97</v>
      </c>
      <c r="T14" s="27">
        <v>98.45</v>
      </c>
      <c r="U14" s="28">
        <f>IF(ISERR(T14/S14*100),"N/A",T14/S14*100)</f>
        <v>101.49484536082474</v>
      </c>
    </row>
    <row r="15" spans="1:34" ht="75" customHeight="1" thickTop="1" thickBot="1">
      <c r="A15" s="25"/>
      <c r="B15" s="26" t="s">
        <v>87</v>
      </c>
      <c r="C15" s="73" t="s">
        <v>483</v>
      </c>
      <c r="D15" s="73"/>
      <c r="E15" s="73"/>
      <c r="F15" s="73"/>
      <c r="G15" s="73"/>
      <c r="H15" s="73"/>
      <c r="I15" s="73" t="s">
        <v>484</v>
      </c>
      <c r="J15" s="73"/>
      <c r="K15" s="73"/>
      <c r="L15" s="73" t="s">
        <v>485</v>
      </c>
      <c r="M15" s="73"/>
      <c r="N15" s="73"/>
      <c r="O15" s="73"/>
      <c r="P15" s="27" t="s">
        <v>47</v>
      </c>
      <c r="Q15" s="27" t="s">
        <v>291</v>
      </c>
      <c r="R15" s="27">
        <v>98</v>
      </c>
      <c r="S15" s="27">
        <v>98</v>
      </c>
      <c r="T15" s="27">
        <v>98.1</v>
      </c>
      <c r="U15" s="28">
        <f>IF(ISERR(T15/S15*100),"N/A",T15/S15*100)</f>
        <v>100.10204081632652</v>
      </c>
    </row>
    <row r="16" spans="1:34" ht="22.5" customHeight="1" thickTop="1" thickBot="1">
      <c r="B16" s="8" t="s">
        <v>98</v>
      </c>
      <c r="C16" s="9"/>
      <c r="D16" s="9"/>
      <c r="E16" s="9"/>
      <c r="F16" s="9"/>
      <c r="G16" s="9"/>
      <c r="H16" s="10"/>
      <c r="I16" s="10"/>
      <c r="J16" s="10"/>
      <c r="K16" s="10"/>
      <c r="L16" s="10"/>
      <c r="M16" s="10"/>
      <c r="N16" s="10"/>
      <c r="O16" s="10"/>
      <c r="P16" s="10"/>
      <c r="Q16" s="10"/>
      <c r="R16" s="10"/>
      <c r="S16" s="10"/>
      <c r="T16" s="10"/>
      <c r="U16" s="11"/>
      <c r="V16" s="33"/>
    </row>
    <row r="17" spans="2:21" ht="26.25" customHeight="1" thickTop="1">
      <c r="B17" s="34"/>
      <c r="C17" s="35"/>
      <c r="D17" s="35"/>
      <c r="E17" s="35"/>
      <c r="F17" s="35"/>
      <c r="G17" s="35"/>
      <c r="H17" s="36"/>
      <c r="I17" s="36"/>
      <c r="J17" s="36"/>
      <c r="K17" s="36"/>
      <c r="L17" s="36"/>
      <c r="M17" s="36"/>
      <c r="N17" s="36"/>
      <c r="O17" s="36"/>
      <c r="P17" s="37"/>
      <c r="Q17" s="38"/>
      <c r="R17" s="39" t="s">
        <v>99</v>
      </c>
      <c r="S17" s="22" t="s">
        <v>100</v>
      </c>
      <c r="T17" s="39" t="s">
        <v>101</v>
      </c>
      <c r="U17" s="22" t="s">
        <v>102</v>
      </c>
    </row>
    <row r="18" spans="2:21" ht="26.25" customHeight="1" thickBot="1">
      <c r="B18" s="40"/>
      <c r="C18" s="41"/>
      <c r="D18" s="41"/>
      <c r="E18" s="41"/>
      <c r="F18" s="41"/>
      <c r="G18" s="41"/>
      <c r="H18" s="42"/>
      <c r="I18" s="42"/>
      <c r="J18" s="42"/>
      <c r="K18" s="42"/>
      <c r="L18" s="42"/>
      <c r="M18" s="42"/>
      <c r="N18" s="42"/>
      <c r="O18" s="42"/>
      <c r="P18" s="43"/>
      <c r="Q18" s="44"/>
      <c r="R18" s="45" t="s">
        <v>103</v>
      </c>
      <c r="S18" s="44" t="s">
        <v>103</v>
      </c>
      <c r="T18" s="44" t="s">
        <v>103</v>
      </c>
      <c r="U18" s="44" t="s">
        <v>104</v>
      </c>
    </row>
    <row r="19" spans="2:21" ht="13.5" customHeight="1" thickBot="1">
      <c r="B19" s="65" t="s">
        <v>105</v>
      </c>
      <c r="C19" s="66"/>
      <c r="D19" s="66"/>
      <c r="E19" s="46"/>
      <c r="F19" s="46"/>
      <c r="G19" s="46"/>
      <c r="H19" s="47"/>
      <c r="I19" s="47"/>
      <c r="J19" s="47"/>
      <c r="K19" s="47"/>
      <c r="L19" s="47"/>
      <c r="M19" s="47"/>
      <c r="N19" s="47"/>
      <c r="O19" s="47"/>
      <c r="P19" s="48"/>
      <c r="Q19" s="48"/>
      <c r="R19" s="49">
        <f>266214.252087</f>
        <v>266214.252087</v>
      </c>
      <c r="S19" s="49">
        <f>183997.720678</f>
        <v>183997.72067800001</v>
      </c>
      <c r="T19" s="49">
        <f>190919.47152897</f>
        <v>190919.47152897</v>
      </c>
      <c r="U19" s="50">
        <f>+IF(ISERR(T19/S19*100),"N/A",T19/S19*100)</f>
        <v>103.76186771524371</v>
      </c>
    </row>
    <row r="20" spans="2:21" ht="13.5" customHeight="1" thickBot="1">
      <c r="B20" s="67" t="s">
        <v>106</v>
      </c>
      <c r="C20" s="68"/>
      <c r="D20" s="68"/>
      <c r="E20" s="51"/>
      <c r="F20" s="51"/>
      <c r="G20" s="51"/>
      <c r="H20" s="52"/>
      <c r="I20" s="52"/>
      <c r="J20" s="52"/>
      <c r="K20" s="52"/>
      <c r="L20" s="52"/>
      <c r="M20" s="52"/>
      <c r="N20" s="52"/>
      <c r="O20" s="52"/>
      <c r="P20" s="53"/>
      <c r="Q20" s="53"/>
      <c r="R20" s="49">
        <f>275581.259061</f>
        <v>275581.25906100002</v>
      </c>
      <c r="S20" s="49">
        <f>190384.057065</f>
        <v>190384.057065</v>
      </c>
      <c r="T20" s="49">
        <f>190919.47152897</f>
        <v>190919.47152897</v>
      </c>
      <c r="U20" s="50">
        <f>+IF(ISERR(T20/S20*100),"N/A",T20/S20*100)</f>
        <v>100.28122862398463</v>
      </c>
    </row>
    <row r="21" spans="2:21" ht="14.85" customHeight="1" thickTop="1" thickBot="1">
      <c r="B21" s="8" t="s">
        <v>107</v>
      </c>
      <c r="C21" s="9"/>
      <c r="D21" s="9"/>
      <c r="E21" s="9"/>
      <c r="F21" s="9"/>
      <c r="G21" s="9"/>
      <c r="H21" s="10"/>
      <c r="I21" s="10"/>
      <c r="J21" s="10"/>
      <c r="K21" s="10"/>
      <c r="L21" s="10"/>
      <c r="M21" s="10"/>
      <c r="N21" s="10"/>
      <c r="O21" s="10"/>
      <c r="P21" s="10"/>
      <c r="Q21" s="10"/>
      <c r="R21" s="10"/>
      <c r="S21" s="10"/>
      <c r="T21" s="10"/>
      <c r="U21" s="11"/>
    </row>
    <row r="22" spans="2:21" ht="44.25" customHeight="1" thickTop="1">
      <c r="B22" s="69" t="s">
        <v>108</v>
      </c>
      <c r="C22" s="70"/>
      <c r="D22" s="70"/>
      <c r="E22" s="70"/>
      <c r="F22" s="70"/>
      <c r="G22" s="70"/>
      <c r="H22" s="70"/>
      <c r="I22" s="70"/>
      <c r="J22" s="70"/>
      <c r="K22" s="70"/>
      <c r="L22" s="70"/>
      <c r="M22" s="70"/>
      <c r="N22" s="70"/>
      <c r="O22" s="70"/>
      <c r="P22" s="70"/>
      <c r="Q22" s="70"/>
      <c r="R22" s="70"/>
      <c r="S22" s="70"/>
      <c r="T22" s="70"/>
      <c r="U22" s="71"/>
    </row>
    <row r="23" spans="2:21" ht="101.85" customHeight="1">
      <c r="B23" s="59" t="s">
        <v>486</v>
      </c>
      <c r="C23" s="60"/>
      <c r="D23" s="60"/>
      <c r="E23" s="60"/>
      <c r="F23" s="60"/>
      <c r="G23" s="60"/>
      <c r="H23" s="60"/>
      <c r="I23" s="60"/>
      <c r="J23" s="60"/>
      <c r="K23" s="60"/>
      <c r="L23" s="60"/>
      <c r="M23" s="60"/>
      <c r="N23" s="60"/>
      <c r="O23" s="60"/>
      <c r="P23" s="60"/>
      <c r="Q23" s="60"/>
      <c r="R23" s="60"/>
      <c r="S23" s="60"/>
      <c r="T23" s="60"/>
      <c r="U23" s="61"/>
    </row>
    <row r="24" spans="2:21" ht="34.5" customHeight="1">
      <c r="B24" s="59" t="s">
        <v>487</v>
      </c>
      <c r="C24" s="60"/>
      <c r="D24" s="60"/>
      <c r="E24" s="60"/>
      <c r="F24" s="60"/>
      <c r="G24" s="60"/>
      <c r="H24" s="60"/>
      <c r="I24" s="60"/>
      <c r="J24" s="60"/>
      <c r="K24" s="60"/>
      <c r="L24" s="60"/>
      <c r="M24" s="60"/>
      <c r="N24" s="60"/>
      <c r="O24" s="60"/>
      <c r="P24" s="60"/>
      <c r="Q24" s="60"/>
      <c r="R24" s="60"/>
      <c r="S24" s="60"/>
      <c r="T24" s="60"/>
      <c r="U24" s="61"/>
    </row>
    <row r="25" spans="2:21" ht="47.25" customHeight="1">
      <c r="B25" s="59" t="s">
        <v>488</v>
      </c>
      <c r="C25" s="60"/>
      <c r="D25" s="60"/>
      <c r="E25" s="60"/>
      <c r="F25" s="60"/>
      <c r="G25" s="60"/>
      <c r="H25" s="60"/>
      <c r="I25" s="60"/>
      <c r="J25" s="60"/>
      <c r="K25" s="60"/>
      <c r="L25" s="60"/>
      <c r="M25" s="60"/>
      <c r="N25" s="60"/>
      <c r="O25" s="60"/>
      <c r="P25" s="60"/>
      <c r="Q25" s="60"/>
      <c r="R25" s="60"/>
      <c r="S25" s="60"/>
      <c r="T25" s="60"/>
      <c r="U25" s="61"/>
    </row>
    <row r="26" spans="2:21" ht="45.2" customHeight="1">
      <c r="B26" s="59" t="s">
        <v>489</v>
      </c>
      <c r="C26" s="60"/>
      <c r="D26" s="60"/>
      <c r="E26" s="60"/>
      <c r="F26" s="60"/>
      <c r="G26" s="60"/>
      <c r="H26" s="60"/>
      <c r="I26" s="60"/>
      <c r="J26" s="60"/>
      <c r="K26" s="60"/>
      <c r="L26" s="60"/>
      <c r="M26" s="60"/>
      <c r="N26" s="60"/>
      <c r="O26" s="60"/>
      <c r="P26" s="60"/>
      <c r="Q26" s="60"/>
      <c r="R26" s="60"/>
      <c r="S26" s="60"/>
      <c r="T26" s="60"/>
      <c r="U26" s="61"/>
    </row>
    <row r="27" spans="2:21" ht="17.100000000000001" customHeight="1" thickBot="1">
      <c r="B27" s="62" t="s">
        <v>490</v>
      </c>
      <c r="C27" s="63"/>
      <c r="D27" s="63"/>
      <c r="E27" s="63"/>
      <c r="F27" s="63"/>
      <c r="G27" s="63"/>
      <c r="H27" s="63"/>
      <c r="I27" s="63"/>
      <c r="J27" s="63"/>
      <c r="K27" s="63"/>
      <c r="L27" s="63"/>
      <c r="M27" s="63"/>
      <c r="N27" s="63"/>
      <c r="O27" s="63"/>
      <c r="P27" s="63"/>
      <c r="Q27" s="63"/>
      <c r="R27" s="63"/>
      <c r="S27" s="63"/>
      <c r="T27" s="63"/>
      <c r="U27" s="64"/>
    </row>
  </sheetData>
  <mergeCells count="4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6:U26"/>
    <mergeCell ref="B27:U27"/>
    <mergeCell ref="B19:D19"/>
    <mergeCell ref="B20:D20"/>
    <mergeCell ref="B22:U22"/>
    <mergeCell ref="B23:U23"/>
    <mergeCell ref="B24:U24"/>
    <mergeCell ref="B25:U25"/>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26</vt:i4>
      </vt:variant>
    </vt:vector>
  </HeadingPairs>
  <TitlesOfParts>
    <vt:vector size="39" baseType="lpstr">
      <vt:lpstr>Portada</vt:lpstr>
      <vt:lpstr>50 E001</vt:lpstr>
      <vt:lpstr>50 E003</vt:lpstr>
      <vt:lpstr>50 E004</vt:lpstr>
      <vt:lpstr>50 E006</vt:lpstr>
      <vt:lpstr>50 E007</vt:lpstr>
      <vt:lpstr>50 E011</vt:lpstr>
      <vt:lpstr>50 E012</vt:lpstr>
      <vt:lpstr>50 J001</vt:lpstr>
      <vt:lpstr>50 J002</vt:lpstr>
      <vt:lpstr>50 J004</vt:lpstr>
      <vt:lpstr>50 K012</vt:lpstr>
      <vt:lpstr>50 K029</vt:lpstr>
      <vt:lpstr>'50 E001'!Área_de_impresión</vt:lpstr>
      <vt:lpstr>'50 E003'!Área_de_impresión</vt:lpstr>
      <vt:lpstr>'50 E004'!Área_de_impresión</vt:lpstr>
      <vt:lpstr>'50 E006'!Área_de_impresión</vt:lpstr>
      <vt:lpstr>'50 E007'!Área_de_impresión</vt:lpstr>
      <vt:lpstr>'50 E011'!Área_de_impresión</vt:lpstr>
      <vt:lpstr>'50 E012'!Área_de_impresión</vt:lpstr>
      <vt:lpstr>'50 J001'!Área_de_impresión</vt:lpstr>
      <vt:lpstr>'50 J002'!Área_de_impresión</vt:lpstr>
      <vt:lpstr>'50 J004'!Área_de_impresión</vt:lpstr>
      <vt:lpstr>'50 K012'!Área_de_impresión</vt:lpstr>
      <vt:lpstr>'50 K029'!Área_de_impresión</vt:lpstr>
      <vt:lpstr>Portada!Área_de_impresión</vt:lpstr>
      <vt:lpstr>'50 E001'!Títulos_a_imprimir</vt:lpstr>
      <vt:lpstr>'50 E003'!Títulos_a_imprimir</vt:lpstr>
      <vt:lpstr>'50 E004'!Títulos_a_imprimir</vt:lpstr>
      <vt:lpstr>'50 E006'!Títulos_a_imprimir</vt:lpstr>
      <vt:lpstr>'50 E007'!Títulos_a_imprimir</vt:lpstr>
      <vt:lpstr>'50 E011'!Títulos_a_imprimir</vt:lpstr>
      <vt:lpstr>'50 E012'!Títulos_a_imprimir</vt:lpstr>
      <vt:lpstr>'50 J001'!Títulos_a_imprimir</vt:lpstr>
      <vt:lpstr>'50 J002'!Títulos_a_imprimir</vt:lpstr>
      <vt:lpstr>'50 J004'!Títulos_a_imprimir</vt:lpstr>
      <vt:lpstr>'50 K012'!Títulos_a_imprimir</vt:lpstr>
      <vt:lpstr>'50 K029'!Títulos_a_imprimir</vt:lpstr>
      <vt:lpstr>Portada!Títulos_a_imprimir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Virginia Quinones Esmerado</cp:lastModifiedBy>
  <cp:lastPrinted>2009-03-26T01:46:20Z</cp:lastPrinted>
  <dcterms:created xsi:type="dcterms:W3CDTF">2009-03-25T01:44:41Z</dcterms:created>
  <dcterms:modified xsi:type="dcterms:W3CDTF">2019-10-21T14:33:22Z</dcterms:modified>
</cp:coreProperties>
</file>