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90" yWindow="1365" windowWidth="17775" windowHeight="11130"/>
  </bookViews>
  <sheets>
    <sheet name="Portada" sheetId="1" r:id="rId1"/>
    <sheet name="50 E001" sheetId="2" r:id="rId2"/>
    <sheet name="50 E003" sheetId="3" r:id="rId3"/>
    <sheet name="50 E004" sheetId="4" r:id="rId4"/>
    <sheet name="50 E006" sheetId="5" r:id="rId5"/>
    <sheet name="50 E007" sheetId="6" r:id="rId6"/>
    <sheet name="50 E011" sheetId="7" r:id="rId7"/>
    <sheet name="50 E012" sheetId="8" r:id="rId8"/>
    <sheet name="50 J001" sheetId="9" r:id="rId9"/>
    <sheet name="50 J002" sheetId="10" r:id="rId10"/>
    <sheet name="50 J004" sheetId="11" r:id="rId11"/>
    <sheet name="50 K012" sheetId="12" r:id="rId12"/>
    <sheet name="50 K029" sheetId="13" r:id="rId13"/>
  </sheets>
  <definedNames>
    <definedName name="_xlnm.Print_Area" localSheetId="1">'50 E001'!$B$2:$U$59</definedName>
    <definedName name="_xlnm.Print_Area" localSheetId="2">'50 E003'!$B$2:$U$49</definedName>
    <definedName name="_xlnm.Print_Area" localSheetId="3">'50 E004'!$B$2:$U$41</definedName>
    <definedName name="_xlnm.Print_Area" localSheetId="4">'50 E006'!$B$2:$U$39</definedName>
    <definedName name="_xlnm.Print_Area" localSheetId="5">'50 E007'!$B$2:$U$39</definedName>
    <definedName name="_xlnm.Print_Area" localSheetId="6">'50 E011'!$B$2:$U$61</definedName>
    <definedName name="_xlnm.Print_Area" localSheetId="7">'50 E012'!$B$2:$U$53</definedName>
    <definedName name="_xlnm.Print_Area" localSheetId="8">'50 J001'!$B$2:$U$31</definedName>
    <definedName name="_xlnm.Print_Area" localSheetId="9">'50 J002'!$B$2:$U$31</definedName>
    <definedName name="_xlnm.Print_Area" localSheetId="10">'50 J004'!$B$2:$U$31</definedName>
    <definedName name="_xlnm.Print_Area" localSheetId="11">'50 K012'!$B$2:$U$31</definedName>
    <definedName name="_xlnm.Print_Area" localSheetId="12">'50 K029'!$B$2:$U$39</definedName>
    <definedName name="_xlnm.Print_Area" localSheetId="0">Portada!$B$1:$AD$86</definedName>
    <definedName name="_xlnm.Print_Titles" localSheetId="1">'50 E001'!$1:$4</definedName>
    <definedName name="_xlnm.Print_Titles" localSheetId="2">'50 E003'!$1:$4</definedName>
    <definedName name="_xlnm.Print_Titles" localSheetId="3">'50 E004'!$1:$4</definedName>
    <definedName name="_xlnm.Print_Titles" localSheetId="4">'50 E006'!$1:$4</definedName>
    <definedName name="_xlnm.Print_Titles" localSheetId="5">'50 E007'!$1:$4</definedName>
    <definedName name="_xlnm.Print_Titles" localSheetId="6">'50 E011'!$1:$4</definedName>
    <definedName name="_xlnm.Print_Titles" localSheetId="7">'50 E012'!$1:$4</definedName>
    <definedName name="_xlnm.Print_Titles" localSheetId="8">'50 J001'!$1:$4</definedName>
    <definedName name="_xlnm.Print_Titles" localSheetId="9">'50 J002'!$1:$4</definedName>
    <definedName name="_xlnm.Print_Titles" localSheetId="10">'50 J004'!$1:$4</definedName>
    <definedName name="_xlnm.Print_Titles" localSheetId="11">'50 K012'!$1:$4</definedName>
    <definedName name="_xlnm.Print_Titles" localSheetId="12">'50 K029'!$1:$4</definedName>
    <definedName name="_xlnm.Print_Titles" localSheetId="0">Portada!$1:$4</definedName>
  </definedNames>
  <calcPr calcId="145621"/>
</workbook>
</file>

<file path=xl/calcChain.xml><?xml version="1.0" encoding="utf-8"?>
<calcChain xmlns="http://schemas.openxmlformats.org/spreadsheetml/2006/main">
  <c r="T24" i="13" l="1"/>
  <c r="S24" i="13"/>
  <c r="U24" i="13" s="1"/>
  <c r="R24" i="13"/>
  <c r="T23" i="13"/>
  <c r="S23" i="13"/>
  <c r="U23" i="13" s="1"/>
  <c r="R23" i="13"/>
  <c r="U19" i="13"/>
  <c r="U18" i="13"/>
  <c r="U17" i="13"/>
  <c r="U16" i="13"/>
  <c r="U15" i="13"/>
  <c r="U14" i="13"/>
  <c r="U13" i="13"/>
  <c r="U12" i="13"/>
  <c r="U11" i="13"/>
  <c r="T20" i="12"/>
  <c r="U20" i="12" s="1"/>
  <c r="S20" i="12"/>
  <c r="R20" i="12"/>
  <c r="T19" i="12"/>
  <c r="U19" i="12" s="1"/>
  <c r="S19" i="12"/>
  <c r="R19" i="12"/>
  <c r="U15" i="12"/>
  <c r="U14" i="12"/>
  <c r="U13" i="12"/>
  <c r="U12" i="12"/>
  <c r="U11" i="12"/>
  <c r="T20" i="11"/>
  <c r="U20" i="11" s="1"/>
  <c r="S20" i="11"/>
  <c r="R20" i="11"/>
  <c r="T19" i="11"/>
  <c r="U19" i="11" s="1"/>
  <c r="S19" i="11"/>
  <c r="R19" i="11"/>
  <c r="U15" i="11"/>
  <c r="U14" i="11"/>
  <c r="U13" i="11"/>
  <c r="U12" i="11"/>
  <c r="U11" i="11"/>
  <c r="T20" i="10"/>
  <c r="U20" i="10" s="1"/>
  <c r="S20" i="10"/>
  <c r="R20" i="10"/>
  <c r="T19" i="10"/>
  <c r="U19" i="10" s="1"/>
  <c r="S19" i="10"/>
  <c r="R19" i="10"/>
  <c r="U15" i="10"/>
  <c r="U14" i="10"/>
  <c r="U13" i="10"/>
  <c r="U12" i="10"/>
  <c r="U11" i="10"/>
  <c r="T20" i="9"/>
  <c r="U20" i="9" s="1"/>
  <c r="S20" i="9"/>
  <c r="R20" i="9"/>
  <c r="T19" i="9"/>
  <c r="U19" i="9" s="1"/>
  <c r="S19" i="9"/>
  <c r="R19" i="9"/>
  <c r="U15" i="9"/>
  <c r="U14" i="9"/>
  <c r="U13" i="9"/>
  <c r="U12" i="9"/>
  <c r="U11" i="9"/>
  <c r="T31" i="8"/>
  <c r="S31" i="8"/>
  <c r="U31" i="8" s="1"/>
  <c r="R31" i="8"/>
  <c r="T30" i="8"/>
  <c r="S30" i="8"/>
  <c r="U30" i="8" s="1"/>
  <c r="R30" i="8"/>
  <c r="U26" i="8"/>
  <c r="U25" i="8"/>
  <c r="U24" i="8"/>
  <c r="U23" i="8"/>
  <c r="U22" i="8"/>
  <c r="U21" i="8"/>
  <c r="U20" i="8"/>
  <c r="U19" i="8"/>
  <c r="U18" i="8"/>
  <c r="U17" i="8"/>
  <c r="U16" i="8"/>
  <c r="U15" i="8"/>
  <c r="U14" i="8"/>
  <c r="U13" i="8"/>
  <c r="U12" i="8"/>
  <c r="U11" i="8"/>
  <c r="T35" i="7"/>
  <c r="S35" i="7"/>
  <c r="U35" i="7" s="1"/>
  <c r="R35" i="7"/>
  <c r="T34" i="7"/>
  <c r="S34" i="7"/>
  <c r="U34" i="7" s="1"/>
  <c r="R34" i="7"/>
  <c r="U30" i="7"/>
  <c r="U29" i="7"/>
  <c r="U28" i="7"/>
  <c r="U27" i="7"/>
  <c r="U26" i="7"/>
  <c r="U25" i="7"/>
  <c r="U24" i="7"/>
  <c r="U23" i="7"/>
  <c r="U22" i="7"/>
  <c r="U21" i="7"/>
  <c r="U20" i="7"/>
  <c r="U19" i="7"/>
  <c r="U18" i="7"/>
  <c r="U17" i="7"/>
  <c r="U16" i="7"/>
  <c r="U15" i="7"/>
  <c r="U14" i="7"/>
  <c r="U13" i="7"/>
  <c r="U12" i="7"/>
  <c r="U11" i="7"/>
  <c r="T24" i="6"/>
  <c r="S24" i="6"/>
  <c r="U24" i="6" s="1"/>
  <c r="R24" i="6"/>
  <c r="T23" i="6"/>
  <c r="S23" i="6"/>
  <c r="U23" i="6" s="1"/>
  <c r="R23" i="6"/>
  <c r="U19" i="6"/>
  <c r="U18" i="6"/>
  <c r="U17" i="6"/>
  <c r="U16" i="6"/>
  <c r="U15" i="6"/>
  <c r="U14" i="6"/>
  <c r="U13" i="6"/>
  <c r="U12" i="6"/>
  <c r="U11" i="6"/>
  <c r="T24" i="5"/>
  <c r="S24" i="5"/>
  <c r="U24" i="5" s="1"/>
  <c r="R24" i="5"/>
  <c r="T23" i="5"/>
  <c r="S23" i="5"/>
  <c r="U23" i="5" s="1"/>
  <c r="R23" i="5"/>
  <c r="U19" i="5"/>
  <c r="U18" i="5"/>
  <c r="U17" i="5"/>
  <c r="U16" i="5"/>
  <c r="U15" i="5"/>
  <c r="U14" i="5"/>
  <c r="U13" i="5"/>
  <c r="U12" i="5"/>
  <c r="U11" i="5"/>
  <c r="T25" i="4"/>
  <c r="U25" i="4" s="1"/>
  <c r="S25" i="4"/>
  <c r="R25" i="4"/>
  <c r="T24" i="4"/>
  <c r="U24" i="4" s="1"/>
  <c r="S24" i="4"/>
  <c r="R24" i="4"/>
  <c r="U20" i="4"/>
  <c r="U19" i="4"/>
  <c r="U18" i="4"/>
  <c r="U17" i="4"/>
  <c r="U16" i="4"/>
  <c r="U15" i="4"/>
  <c r="U14" i="4"/>
  <c r="U13" i="4"/>
  <c r="U12" i="4"/>
  <c r="U11" i="4"/>
  <c r="T29" i="3"/>
  <c r="U29" i="3" s="1"/>
  <c r="S29" i="3"/>
  <c r="R29" i="3"/>
  <c r="T28" i="3"/>
  <c r="U28" i="3" s="1"/>
  <c r="S28" i="3"/>
  <c r="R28" i="3"/>
  <c r="U24" i="3"/>
  <c r="U23" i="3"/>
  <c r="U22" i="3"/>
  <c r="U21" i="3"/>
  <c r="U20" i="3"/>
  <c r="U19" i="3"/>
  <c r="U18" i="3"/>
  <c r="U17" i="3"/>
  <c r="U16" i="3"/>
  <c r="U15" i="3"/>
  <c r="U14" i="3"/>
  <c r="U13" i="3"/>
  <c r="U12" i="3"/>
  <c r="U11" i="3"/>
  <c r="T34" i="2"/>
  <c r="U34" i="2" s="1"/>
  <c r="S34" i="2"/>
  <c r="R34" i="2"/>
  <c r="T33" i="2"/>
  <c r="U33" i="2" s="1"/>
  <c r="S33" i="2"/>
  <c r="R33" i="2"/>
  <c r="U29" i="2"/>
  <c r="U28" i="2"/>
  <c r="U27"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<sst xmlns="http://schemas.openxmlformats.org/spreadsheetml/2006/main" count="1567" uniqueCount="585">
  <si>
    <t xml:space="preserve">    Tercer Trimestre 2018</t>
  </si>
  <si>
    <t>Instituto Mexicano del Seguro Social</t>
  </si>
  <si>
    <t>Programas presupuestarios cuya MIR se incluye en el reporte</t>
  </si>
  <si>
    <t xml:space="preserve">E-001 Prevención y control de enfermedades
E-003 Atención a la Salud en el Trabajo
E-004 Investigación y desarrollo tecnológico en salud
E-006 Recaudación de ingresos obrero patronales
E-007 Servicios de guardería
E-011 Atención a la Salud
E-012 Prestaciones sociales
J-001 Pensiones en curso de pago Ley 1973
J-002 Rentas vitalicias Ley 1997
J-004 Pago de subsidios a los asegurados
K-012 Proyectos de infraestructura social de asistencia y seguridad social
K-029 Programas de adquisiciones
</t>
  </si>
  <si>
    <t xml:space="preserve">      Tercer Trimestre 2018</t>
  </si>
  <si>
    <t>DATOS DEL PROGRAMA</t>
  </si>
  <si>
    <t>Programa presupuestario</t>
  </si>
  <si>
    <t>E001</t>
  </si>
  <si>
    <t>Prevención y control de enfermedades</t>
  </si>
  <si>
    <t>Ramo</t>
  </si>
  <si>
    <t>50</t>
  </si>
  <si>
    <t>Unidad responsable</t>
  </si>
  <si>
    <t>GYR-Instituto Mexicano del Seguro Social</t>
  </si>
  <si>
    <t>Enfoques transversales</t>
  </si>
  <si>
    <t>Sin Información</t>
  </si>
  <si>
    <t>Clasificación Funcional</t>
  </si>
  <si>
    <t>Finalidad</t>
  </si>
  <si>
    <t>2 - Desarrollo Social</t>
  </si>
  <si>
    <t>Función</t>
  </si>
  <si>
    <t>3 - Salud</t>
  </si>
  <si>
    <t>Subfunción</t>
  </si>
  <si>
    <t>2 - Prestación de Servicios de Salud a la Persona</t>
  </si>
  <si>
    <t>Actividad Institucional</t>
  </si>
  <si>
    <t>3 - Eficacia en la atención médica preventiva</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</si>
  <si>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</si>
  <si>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</si>
  <si>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</si>
  <si>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</si>
  <si>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</si>
  <si>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</si>
  <si>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</si>
  <si>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</si>
  <si>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</si>
  <si>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</si>
  <si>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</si>
  <si>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</si>
  <si>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</si>
  <si>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</si>
  <si>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</si>
  <si>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 consolidar las acciones de protección, promoción de la salud y prevención de enfermedades  mediante  intervenciones que mejoren la salud y la calidad de vida de los derechohabientes.</t>
  </si>
  <si>
    <r>
      <t>Tasa de mortalidad por cáncer cérvico uterino</t>
    </r>
    <r>
      <rPr>
        <i/>
        <sz val="10"/>
        <color indexed="30"/>
        <rFont val="Soberana Sans"/>
      </rPr>
      <t xml:space="preserve">
</t>
    </r>
  </si>
  <si>
    <t>(Número de defunciones por cáncer cérvico uterino ocurridas en mujeres derechohabientes de 25 años y más / Población de mujeres derechohabientes de 25 y más años de edad adscritas a médico familiar) X 100 000</t>
  </si>
  <si>
    <t>Tasa</t>
  </si>
  <si>
    <t>Estratégico-Eficacia-Anual</t>
  </si>
  <si>
    <t>N/A</t>
  </si>
  <si>
    <t/>
  </si>
  <si>
    <r>
      <t>Prevalencia de obesidad en niños de 5 a 11 años de edad</t>
    </r>
    <r>
      <rPr>
        <i/>
        <sz val="10"/>
        <color indexed="30"/>
        <rFont val="Soberana Sans"/>
      </rPr>
      <t xml:space="preserve">
Indicador Seleccionado</t>
    </r>
  </si>
  <si>
    <t>Resulta de la división del número de niños entre 5 y 11 años de edad, cuyo índice de masa corporal se ubica a dos o más desviaciones estándar del valor medio indicado en las tablas de referencia de la Organización Mundial de la Salud, entre el total de niños del mismo grupo etario, multiplicado por 100</t>
  </si>
  <si>
    <t>Porcentaje</t>
  </si>
  <si>
    <t>Estratégico-Eficacia-Bienal</t>
  </si>
  <si>
    <r>
      <t>Tasa de mortalidad por cáncer de mama</t>
    </r>
    <r>
      <rPr>
        <i/>
        <sz val="10"/>
        <color indexed="30"/>
        <rFont val="Soberana Sans"/>
      </rPr>
      <t xml:space="preserve">
</t>
    </r>
  </si>
  <si>
    <t>(Número de defunciones por cáncer de mama ocurridas en mujeres derechohabientes de 25 años y más / Población de mujeres derechohabientes de 25 y más años de edad adscritas a médico familiar) X 100 000</t>
  </si>
  <si>
    <r>
      <t>Porcentaje de cambio entre el año base y el año de registro de casos nuevos confirmados de VIH por transmisión vertical</t>
    </r>
    <r>
      <rPr>
        <i/>
        <sz val="10"/>
        <color indexed="30"/>
        <rFont val="Soberana Sans"/>
      </rPr>
      <t xml:space="preserve">
Indicador Seleccionado</t>
    </r>
  </si>
  <si>
    <t>Resulta de restarle al 100% el cociente del número de casos nuevos en recién nacidos diagnosticados con VIH del Sistema Especial de Vigilancia Epidemiológica de VIH/SIDA al 30 de junio de cada año entre el número de casos nuevos en recién nacidos diagnosticados con VIH del Sistema Especial de Vigilancia Epidemiológica de VIH/SIDA al 30 de junio de 2013.  Se consideran los casos nuevos de transmisión vertical (vía perinatal) diagnosticados con VIH en todas las instituciones del sector salud</t>
  </si>
  <si>
    <r>
      <t>Tasa de mortalidad por tuberculosis pulmonar</t>
    </r>
    <r>
      <rPr>
        <i/>
        <sz val="10"/>
        <color indexed="30"/>
        <rFont val="Soberana Sans"/>
      </rPr>
      <t xml:space="preserve">
</t>
    </r>
  </si>
  <si>
    <t>(Número de defunciones por tuberculosis pulmonar ocurridas en la población derechohabiente de 15 años y más / Población adscrita de 15 años y más adscrita a médico familiar) x 100,000</t>
  </si>
  <si>
    <r>
      <t>Esperanza de Vida al Nacer</t>
    </r>
    <r>
      <rPr>
        <i/>
        <sz val="10"/>
        <color indexed="30"/>
        <rFont val="Soberana Sans"/>
      </rPr>
      <t xml:space="preserve">
</t>
    </r>
  </si>
  <si>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</si>
  <si>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</si>
  <si>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r>
      <t>Porcentaje de cobertura de vacunación con esquema completo en menores de un año</t>
    </r>
    <r>
      <rPr>
        <i/>
        <sz val="10"/>
        <color indexed="30"/>
        <rFont val="Soberana Sans"/>
      </rPr>
      <t xml:space="preserve">
Indicador Seleccionado</t>
    </r>
  </si>
  <si>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</si>
  <si>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Gestión-Eficacia-Anual</t>
  </si>
  <si>
    <t>Propósito</t>
  </si>
  <si>
    <t>En la población derechohabiente del IMSS se reducen la mortalidad por enfermedades prevenibles y los embarazos de alto riesgo.</t>
  </si>
  <si>
    <r>
      <t>Prevalencia de obesidad en niños de 5 a 9 años de edad</t>
    </r>
    <r>
      <rPr>
        <i/>
        <sz val="10"/>
        <color indexed="30"/>
        <rFont val="Soberana Sans"/>
      </rPr>
      <t xml:space="preserve">
</t>
    </r>
  </si>
  <si>
    <t>(NÚMERO DE NIÑOS DERECHOHABIENTES DE 5 A 9 AÑOS CON OBESIDAD EN EL MES INFORMADO /POBLACIÓN DE NIÑOS DE 5 A 9 AÑOS ADSCRITOS A MÉDICO FAMILIAR CON REGISTRO DE PESO Y TALLA EN EL MES INFORMADO)* 100</t>
  </si>
  <si>
    <r>
      <t>Cobertura de atención integral PREVENIMSS</t>
    </r>
    <r>
      <rPr>
        <i/>
        <sz val="10"/>
        <color indexed="30"/>
        <rFont val="Soberana Sans"/>
      </rPr>
      <t xml:space="preserve">
</t>
    </r>
  </si>
  <si>
    <t>(Número de derechohabientes que recibieron atención preventiva integrada  en los últimos 12 meses / Población derechohabiente adscrita a médico familiar)* 100</t>
  </si>
  <si>
    <r>
      <t>Proporción de adolescentes embarazadas</t>
    </r>
    <r>
      <rPr>
        <i/>
        <sz val="10"/>
        <color indexed="30"/>
        <rFont val="Soberana Sans"/>
      </rPr>
      <t xml:space="preserve">
</t>
    </r>
  </si>
  <si>
    <t>(Número de embarazadas adolescentes (de 10-19 años de edad) que acuden por 1a vez a la vigilancia prenatal / Total de embarazadas de 1er vez en vigilancia prenatal) * 100</t>
  </si>
  <si>
    <t>Proporción</t>
  </si>
  <si>
    <t>Componente</t>
  </si>
  <si>
    <t>A Acciones preventivas proporcionadas</t>
  </si>
  <si>
    <r>
      <t>Cobertura de detección de cáncer cérvico uterino a través de citología cervical en mujeres de 25 a 64 años</t>
    </r>
    <r>
      <rPr>
        <i/>
        <sz val="10"/>
        <color indexed="30"/>
        <rFont val="Soberana Sans"/>
      </rPr>
      <t xml:space="preserve">
</t>
    </r>
  </si>
  <si>
    <t>(Número de mujeres de 25 a 64 años con citología cervical de primera vez acumuladas al mes del reporte/ Población de mujeres de 25 a 64 años de edad adscritas a médico familiar menos 11 por ciento (estimación de mujeres sin útero, ENCOPREVENIMSS 2006)) X 100</t>
  </si>
  <si>
    <t>Estratégico-Eficacia-Semestral</t>
  </si>
  <si>
    <r>
      <t>Cobertura de detección de primera vez de diabetes mellitus en población derechohabiente de 20 años y más</t>
    </r>
    <r>
      <rPr>
        <i/>
        <sz val="10"/>
        <color indexed="30"/>
        <rFont val="Soberana Sans"/>
      </rPr>
      <t xml:space="preserve">
</t>
    </r>
  </si>
  <si>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</si>
  <si>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r>
      <t>Cobertura con esquemas completos de vacunación en niños de un año de edad.</t>
    </r>
    <r>
      <rPr>
        <i/>
        <sz val="10"/>
        <color indexed="30"/>
        <rFont val="Soberana Sans"/>
      </rPr>
      <t xml:space="preserve">
</t>
    </r>
  </si>
  <si>
    <t>(Número de niños de un año de edad que tienen completo su esquema de vacunación) /(Población de niños de un año de edad bajo responsabilidad institucional) X 100</t>
  </si>
  <si>
    <r>
      <t>Cobertura de detección de cáncer de mama por mastografía en mujeres de 50 a 69 años</t>
    </r>
    <r>
      <rPr>
        <i/>
        <sz val="10"/>
        <color indexed="30"/>
        <rFont val="Soberana Sans"/>
      </rPr>
      <t xml:space="preserve">
</t>
    </r>
  </si>
  <si>
    <t>(Número de mujeres de 50 a 69 años con mastografía al mes del reporte)/(Población de mujeres de 50 a 69 años de edad adscritas a médico familiar)*100</t>
  </si>
  <si>
    <r>
      <t>Cobertura de detección de hipertensión arterial en población derechohabiente de 20 años y más</t>
    </r>
    <r>
      <rPr>
        <i/>
        <sz val="10"/>
        <color indexed="30"/>
        <rFont val="Soberana Sans"/>
      </rPr>
      <t xml:space="preserve">
</t>
    </r>
  </si>
  <si>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</si>
  <si>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B Acciones de planificación familiar otorgadas</t>
  </si>
  <si>
    <r>
      <t>Logro de aceptantes en relación con la meta programada en consulta externa de medicina familiar</t>
    </r>
    <r>
      <rPr>
        <i/>
        <sz val="10"/>
        <color indexed="30"/>
        <rFont val="Soberana Sans"/>
      </rPr>
      <t xml:space="preserve">
</t>
    </r>
  </si>
  <si>
    <t>(Aceptantes de métodos anticonceptivos en consulta externa / Meta de aceptantes de métodos anticonceptivos en consulta externa) * 100</t>
  </si>
  <si>
    <t>Actividad</t>
  </si>
  <si>
    <t>A 1 Promoción en la población en edad fértil, de las ventajas de adoptar un método anticonceptivo de acuerdo a su condición de salud y sus factores de riesgoreproductivo.</t>
  </si>
  <si>
    <r>
      <t>Porcentaje de entrevistas de consejería anticonceptiva</t>
    </r>
    <r>
      <rPr>
        <i/>
        <sz val="10"/>
        <color indexed="30"/>
        <rFont val="Soberana Sans"/>
      </rPr>
      <t xml:space="preserve">
</t>
    </r>
  </si>
  <si>
    <t>(N° de entrevistas de consejería anticonceptiva realizadas / N° de entrevistas de consejería anticonceptiva programadas)*100</t>
  </si>
  <si>
    <t>Gestión-Eficacia-Trimestral</t>
  </si>
  <si>
    <t>A 2 Medición de peso y talla en derechohabientes adscritos a médico familiar</t>
  </si>
  <si>
    <r>
      <t>Porcentaje de medición de peso y talla en población derechohabiente</t>
    </r>
    <r>
      <rPr>
        <i/>
        <sz val="10"/>
        <color indexed="30"/>
        <rFont val="Soberana Sans"/>
      </rPr>
      <t xml:space="preserve">
</t>
    </r>
  </si>
  <si>
    <t>(Número de derechohabientes con medición de peso y talla acumulado al mes evaluado /Total de derechohabientes adscritos a médico familiar)* 100</t>
  </si>
  <si>
    <t>A 3 Otorgamiento de atenciones preventivas integradas por grupo de edad.</t>
  </si>
  <si>
    <r>
      <t xml:space="preserve">Porcentaje de Atención Preventiva Integrada </t>
    </r>
    <r>
      <rPr>
        <i/>
        <sz val="10"/>
        <color indexed="30"/>
        <rFont val="Soberana Sans"/>
      </rPr>
      <t xml:space="preserve">
</t>
    </r>
  </si>
  <si>
    <t>(Número de Atenciones Preventivas Integradas otorgadas en el mes evaluado) /(Total de atenciones otorgadas por el personal de enfermería en el mes evaluado) * 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</si>
  <si>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</si>
  <si>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</si>
  <si>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</si>
  <si>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</si>
  <si>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</si>
  <si>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</si>
  <si>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</si>
  <si>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</si>
  <si>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</si>
  <si>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</si>
  <si>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anual o con un periodo mayor de tiempo. 
Estos indicadores no registraron información ni justificación, debido a que lo harán de conformidad con la frecuencia de medición con la que programaron sus metas. </t>
  </si>
  <si>
    <r>
      <t xml:space="preserve">Tasa de mortalidad por cáncer cérvico uterino
</t>
    </r>
    <r>
      <rPr>
        <sz val="10"/>
        <rFont val="Soberana Sans"/>
        <family val="2"/>
      </rPr>
      <t>Sin Información,Sin Justificación</t>
    </r>
  </si>
  <si>
    <r>
      <t xml:space="preserve">Prevalencia de obesidad en niños de 5 a 11 años de edad
</t>
    </r>
    <r>
      <rPr>
        <sz val="10"/>
        <rFont val="Soberana Sans"/>
        <family val="2"/>
      </rPr>
      <t>Sin Información,Sin Justificación</t>
    </r>
  </si>
  <si>
    <r>
      <t xml:space="preserve">Tasa de mortalidad por cáncer de mama
</t>
    </r>
    <r>
      <rPr>
        <sz val="10"/>
        <rFont val="Soberana Sans"/>
        <family val="2"/>
      </rPr>
      <t>Sin Información,Sin Justificación</t>
    </r>
  </si>
  <si>
    <r>
      <t xml:space="preserve">Porcentaje de cambio entre el año base y el año de registro de casos nuevos confirmados de VIH por transmisión vertical
</t>
    </r>
    <r>
      <rPr>
        <sz val="10"/>
        <rFont val="Soberana Sans"/>
        <family val="2"/>
      </rPr>
      <t>Sin Información,Sin Justificación</t>
    </r>
  </si>
  <si>
    <r>
      <t xml:space="preserve">Tasa de mortalidad por tuberculosis pulmonar
</t>
    </r>
    <r>
      <rPr>
        <sz val="10"/>
        <rFont val="Soberana Sans"/>
        <family val="2"/>
      </rPr>
      <t xml:space="preserve"> Causa : Es información preliminar el numerador, del número de decesos de tuberculosis de localización pulmonar. La información está hasta el mes de septiembre de 2018.  Efecto: Se cuente con una tasa de mortalidad más baja a la programada. Otros Motivos:Información preliminar, al mes de septiembre de 2018. La División de Información en Salud es la responsable de proporcionar este dato.</t>
    </r>
  </si>
  <si>
    <r>
      <t xml:space="preserve">Esperanza de Vida al Nacer
</t>
    </r>
    <r>
      <rPr>
        <sz val="10"/>
        <rFont val="Soberana Sans"/>
        <family val="2"/>
      </rPr>
      <t>Sin Información,Sin Justificación</t>
    </r>
  </si>
  <si>
    <r>
      <t xml:space="preserve">Porcentaje de cobertura de vacunación con esquema completo en menores de un año
</t>
    </r>
    <r>
      <rPr>
        <sz val="10"/>
        <rFont val="Soberana Sans"/>
        <family val="2"/>
      </rPr>
      <t>Sin Información,Sin Justificación</t>
    </r>
  </si>
  <si>
    <r>
      <t xml:space="preserve">Prevalencia de obesidad en niños de 5 a 9 años de edad
</t>
    </r>
    <r>
      <rPr>
        <sz val="10"/>
        <rFont val="Soberana Sans"/>
        <family val="2"/>
      </rPr>
      <t>Sin Información,Sin Justificación</t>
    </r>
  </si>
  <si>
    <r>
      <t xml:space="preserve">Cobertura de atención integral PREVENIMSS
</t>
    </r>
    <r>
      <rPr>
        <sz val="10"/>
        <rFont val="Soberana Sans"/>
        <family val="2"/>
      </rPr>
      <t>Sin Información,Sin Justificación</t>
    </r>
  </si>
  <si>
    <r>
      <t xml:space="preserve">Proporción de adolescentes embarazadas
</t>
    </r>
    <r>
      <rPr>
        <sz val="10"/>
        <rFont val="Soberana Sans"/>
        <family val="2"/>
      </rPr>
      <t>Sin Información,Sin Justificación</t>
    </r>
  </si>
  <si>
    <r>
      <t xml:space="preserve">Cobertura de detección de cáncer cérvico uterino a través de citología cervical en mujeres de 25 a 64 años
</t>
    </r>
    <r>
      <rPr>
        <sz val="10"/>
        <rFont val="Soberana Sans"/>
        <family val="2"/>
      </rPr>
      <t xml:space="preserve"> Causa : Información estimada  al mes de junio de 2018, con base en el comportamiente observado de enero - abril del mismo año  La cobertura estimada  fue de 12.45%, cifra por debajo de la meta establecida para el primer semestre  (15.0%)  Los factores que influyeron para obtener estos resultados fueron:  - Retraso en la licitación de algunos insumos necesarios para realizar el papanicolau.  - Incremnto de 5.7% de la población de mujeres derechohabientes de 25 a 64 años de edad, con respecto a 2017.  - Alta rotación de personal de enfermería que realiza la detección. Efecto: El logro obtenido permitió identificar oportunamente 2,508 casos de displasia cervical leve y moderada; 376 de displasia severa y cáncer in situ, así como 374 de tumor maligno del cuello del útero en mujeres de 25 años y más.  Otros Motivos:</t>
    </r>
  </si>
  <si>
    <r>
      <t xml:space="preserve">Cobertura de detección de primera vez de diabetes mellitus en población derechohabiente de 20 años y más
</t>
    </r>
    <r>
      <rPr>
        <sz val="10"/>
        <rFont val="Soberana Sans"/>
        <family val="2"/>
      </rPr>
      <t xml:space="preserve"> Causa : Información estimada  al mes de junio de 2018, con base en el comportamiente observado del primer cuatrimestre del año  La cobertura alcanzada fue  11.5%, cifra por debajo de la meta establecida para el primer semestre  (16.5%)  Los factores que influyeron para obtener estos resultados fueron:  - Retraso en la licitación de tiras reactivas y lancetas para la toma de la glucosa capilar, lo que ocasionó desabasto en algunas delegaciones del sistema.  - Incremento de la población derechohabiente de 20 años y más en dos millones de 2017 a 2018. Efecto: El logro obtenido permitió identificar a  188,202 sospechosos de padecer diabetes mellitus, los cuales se derivaron  con el médico familiar para su confirmación. Otros Motivos:</t>
    </r>
  </si>
  <si>
    <r>
      <t xml:space="preserve">Cobertura con esquemas completos de vacunación en niños de un año de edad.
</t>
    </r>
    <r>
      <rPr>
        <sz val="10"/>
        <rFont val="Soberana Sans"/>
        <family val="2"/>
      </rPr>
      <t xml:space="preserve"> Causa : Información estimada al mes de junio de 2018, con fundamento en el número de dosis aplicadas de vacunas del esquema básico reportadas por la Delegaciones.   El logro a junio se encuentra por debajo del referente nacional de 95%, los factores queafectaro en el logro de la meta fueron:  retraso en la adquisición de la vacuna Triple viral desde el 2017, donde se adquirieron únicamente 374,000 dosis de 1¿433,250 dosis del requerimiento total, lo que ocasiona que no se contará con reservas de esta vacuna.  Respecto al abasto 2018 de vacuna triple viral, sucedió lo siguiente:  1.- Retraso en la liberación de lotes por parte de COFEPRIS.  2.- Entregas inoportunas de los productos por parte del proveedor.  La distribución de esta vacuna inició el pasado viernes 6 de julio y se están estableciendo estrategias para actualizar los esquemas de vacunación pendientes.  Efecto: El mantenimiento de la erradicación, eliminación y control epidemiológico de las enfermedades inmunoprevenibles sugiere que las coberturas de vacunación, aún con la problemática de abastecimiento, se encuentran en niveles de eficacia. Otros Motivos:</t>
    </r>
  </si>
  <si>
    <r>
      <t xml:space="preserve">Cobertura de detección de cáncer de mama por mastografía en mujeres de 50 a 69 años
</t>
    </r>
    <r>
      <rPr>
        <sz val="10"/>
        <rFont val="Soberana Sans"/>
        <family val="2"/>
      </rPr>
      <t xml:space="preserve"> Causa : Información estimada al mes de junio de 2018 , con base en el comportamiento observado de enero - abril del mismo año.    La cobertura  estimada a junio fue de 9.76%, cifra ligeramente inferior a la meta programada para el primer semestre del año (10.0%).   Los factores que influyeron en el logro de la meta fueron:   - Incremento de 6.5% de la población de mujeres derechohabientes de 50 a 69 años, con respecto a 2017.   - Alta rotación de personal de enfermería que realiza la detección. Efecto: El logro alcanzado  permitió identificar  oportunamente 944 casos de  tumor maligno de mama en mujeres de 50 y más años, mismas que recibieron tratamiento. Otros Motivos:</t>
    </r>
  </si>
  <si>
    <r>
      <t xml:space="preserve">Cobertura de detección de hipertensión arterial en población derechohabiente de 20 años y más
</t>
    </r>
    <r>
      <rPr>
        <sz val="10"/>
        <rFont val="Soberana Sans"/>
        <family val="2"/>
      </rPr>
      <t xml:space="preserve"> Causa : Información estimada  al mes de junio de 2018, con base en el comportamiento observado del primer cuatrimestre del año     La cobertura fue de 37.32%, cifra sauperior a la meta establecida para el primer semestre  (32.5%).     Los factores que influyeron para obtener estos resultados fueron:    - Derivación de los derchohabientes que acuden a la unidad médica por otro motivo  a los módulos PREVENIMSS.    - Estrategias de difusión dentro de las unidades médicas para que la población se realice la detección.  Efecto: El logro obtenido permitió identificar a 1 479,378 sospechosos de padecer hipertensión arterial, los cuales se derivaron  con el médico familiar para su confirmación.  Otros Motivos:</t>
    </r>
  </si>
  <si>
    <r>
      <t xml:space="preserve">Logro de aceptantes en relación con la meta programada en consulta externa de medicina familiar
</t>
    </r>
    <r>
      <rPr>
        <sz val="10"/>
        <rFont val="Soberana Sans"/>
        <family val="2"/>
      </rPr>
      <t xml:space="preserve"> Causa : Información estimada al mes de junio con base en información al primer trimestre de 2018.    Este resultado, obedece a una inconsistencia en el registro de la información de las fuentes primarias al sistema institucional de captura. Misma que esta representando la perdida de captura de algunas claves de métodos anticonceptivos. Efecto: El no saber el grado de perdida de captura, hace dificil establecer con certeza que porcentaje de la población en edad fertil esta siendo motivo de una necesidad insatisfecha. Otros Motivos:</t>
    </r>
  </si>
  <si>
    <r>
      <t xml:space="preserve">Porcentaje de entrevistas de consejería anticonceptiva
</t>
    </r>
    <r>
      <rPr>
        <sz val="10"/>
        <rFont val="Soberana Sans"/>
        <family val="2"/>
      </rPr>
      <t xml:space="preserve"> Causa : Información estimada al mes de septiembre de 2018.       Las entrevistas de consejería otorgadas por trabajo social y enfermería son otorgadas tanto a mujeres como hombres sin distinción siendo, agrupadas en mujeres no embarazadas, postparto (incluye postcésarea) y postaborto, varones, adolescentes y  usuarias de métodos de planificación familiar, herramienta bien establecida dentro del otorgamiento de servicios de planificación familiar.                                                                                  Efecto: La aceptación de un método anticonceptivo en forma informada, favorece la continuidad en el uso del mismo, a fin de planear un embarazo en las mejores condiciones de salud. Otros Motivos:</t>
    </r>
  </si>
  <si>
    <r>
      <t xml:space="preserve">Porcentaje de medición de peso y talla en población derechohabiente
</t>
    </r>
    <r>
      <rPr>
        <sz val="10"/>
        <rFont val="Soberana Sans"/>
        <family val="2"/>
      </rPr>
      <t xml:space="preserve"> Causa : Información estimada al mes de septiembre de 2018, con base en el comportamiento mensual observado enero- julio de 2018.     El logro estimado a septiembre de 2018 fue  de 52.67% cifra cercana a la meta establecida (53.0%).   Los factores que influyeron en el logro de la meta fueron:   - Derivación de los derchohabientes que acuden a la unidad médica por otro motivo  a los módulos PREVENIMSS.   - Estrategias de difusión dentro de las unidades médicas para que la población se realice la detección.  Efecto: El logro alcanzado permitió que a 24,977,159 derechohabientes se les evaluará su estado nutricional y se les otorgaran  recomendaciones relacionadas primordialmente con actividad física y cambios en los hábitos de alimentación, para revertir el problema de sobrepeso/obesidad. Otros Motivos:</t>
    </r>
  </si>
  <si>
    <r>
      <t xml:space="preserve">Porcentaje de Atención Preventiva Integrada 
</t>
    </r>
    <r>
      <rPr>
        <sz val="10"/>
        <rFont val="Soberana Sans"/>
        <family val="2"/>
      </rPr>
      <t xml:space="preserve"> Causa : Información estimada al mes de septiembre de 2018, con base en el comportamiento mensual observado enero- julio de 2018.        El logro estimado a septiembre de 2018 fue de 91.3% cifra inferior a la meta establecida (95%).       Los factores que afectaron el logro de la meta fueron: Desabasto de algunos insumos para llevar a cabo las detecciones y de vacunas, así como rotación del personal de enfermería que otorga la atención preventiva integrada. Efecto: El  logro obtenido permitió que de cada 100 derechohabientes se otorgara a 91 de ellos el conjunto de acciones educativas, de nutrición, prevención, protección específica, detección oportuna y salud reproductiva que les corresponde de acuerdo a su grupo de edad y sexo.  Otros Motivos:</t>
    </r>
  </si>
  <si>
    <t>E003</t>
  </si>
  <si>
    <t>Atención a la Salud en el Trabajo</t>
  </si>
  <si>
    <t>4 - Oportunidad en la atención curativa, quirúrgica, hospitalaria y de rehabilitación</t>
  </si>
  <si>
    <t>Contribuir a reducir los riesgos que afectan la salud de la población en cualquier actividad de su vida mediante el otorgamiento de los servicios de Salud en el Trabajo.</t>
  </si>
  <si>
    <t>AÑOS</t>
  </si>
  <si>
    <r>
      <t>Tasa de mortalidad por riesgos de trabajo</t>
    </r>
    <r>
      <rPr>
        <i/>
        <sz val="10"/>
        <color indexed="30"/>
        <rFont val="Soberana Sans"/>
      </rPr>
      <t xml:space="preserve">
Indicador Seleccionado</t>
    </r>
  </si>
  <si>
    <t>Resulta de la división del número de defunciones por accidentes y enfermedades de trabajo entre el total de trabajadores asegurados en el Seguro de Riesgos de Trabajo multiplicado por 10,000; anualmente</t>
  </si>
  <si>
    <t>tasa</t>
  </si>
  <si>
    <t>Los Trabajadores asegurados acuden a los servicios de Salud en el Trabajo para tener acceso a las prestaciones que por ley les corresponden en el ramo de Riesgos de Trabajo e Invalidez y Vida.</t>
  </si>
  <si>
    <r>
      <t>Porcentaje de Cobertura de los servicios de Salud en el Trabajo</t>
    </r>
    <r>
      <rPr>
        <i/>
        <sz val="10"/>
        <color indexed="30"/>
        <rFont val="Soberana Sans"/>
      </rPr>
      <t xml:space="preserve">
</t>
    </r>
  </si>
  <si>
    <t>(Número de trabajadores que recibieron atención en materia de prevención y atención de los riesgos de trabajo, determinación del estado de Invalidez y reincorporación laboral en el periodo de reporte (t)  / Promedio de trabajadores asegurados para riesgos de trabajo e invalidez en el periodo de reporte (t))  X 100</t>
  </si>
  <si>
    <t>Estratégico-Eficacia-Trimestral</t>
  </si>
  <si>
    <t>A Dictamenes de incapacidad permanente o defunción autorizados oportunamente</t>
  </si>
  <si>
    <r>
      <t>Porcentaje de dictámenes de incapacidad permanente y de defunción autorizados oportunamente</t>
    </r>
    <r>
      <rPr>
        <i/>
        <sz val="10"/>
        <color indexed="30"/>
        <rFont val="Soberana Sans"/>
      </rPr>
      <t xml:space="preserve">
</t>
    </r>
  </si>
  <si>
    <t>(Número de dictámenes de incapacidad permanente y defunción autorizados en 15 días o menos por salud en el trabajo, según delegación origen, emitidos en el periodo de reporte (t) / el número de dictámenes de incapacidad permanente y defunción autorizados por los servicios de salud en el trabajo según delegación origen emitidos en el periodo de reporte(t)) X 100</t>
  </si>
  <si>
    <t>Estratégico-Calidad-Trimestral</t>
  </si>
  <si>
    <t>B Dictamenes de Invalidez autorizados oportunamente</t>
  </si>
  <si>
    <r>
      <t>Porcentaje de dictámenes de invalidez autorizados oportunamente</t>
    </r>
    <r>
      <rPr>
        <i/>
        <sz val="10"/>
        <color indexed="30"/>
        <rFont val="Soberana Sans"/>
      </rPr>
      <t xml:space="preserve">
</t>
    </r>
  </si>
  <si>
    <t>(Número de dictámenes de invalidez autorizados en 15 días o menos por salud en el trabajo, según delegación origen, emitidos en el periodo de reporte (t) / el número de dictámenes de invalidez autorizados por los servicios de salud en el trabajo según delegación origen emitidos en el periodo de reporte(t)) X 100</t>
  </si>
  <si>
    <t>C Acciones eficientes de Prevención de Accidentes de trabajo, en las empresas afiliadas, mediante estudios y programas de Seguridad en el Trabajo realizados</t>
  </si>
  <si>
    <r>
      <t>Porcentaje de variación de la tasa de accidentes de trabajo en empresas intervenidas con programas preventivos de Seguridad en el Trabajo</t>
    </r>
    <r>
      <rPr>
        <i/>
        <sz val="10"/>
        <color indexed="30"/>
        <rFont val="Soberana Sans"/>
      </rPr>
      <t xml:space="preserve">
</t>
    </r>
  </si>
  <si>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</si>
  <si>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D Detección del nivel de satisfacción de las empresas afiliadas intervenidas con estudios y programas preventivos de Seguridad en el Trabajo</t>
  </si>
  <si>
    <r>
      <t>Porcentaje de Satisfacción de Empresas Usuarias de los Servicios de Seguridad en el Trabajo</t>
    </r>
    <r>
      <rPr>
        <i/>
        <sz val="10"/>
        <color indexed="30"/>
        <rFont val="Soberana Sans"/>
      </rPr>
      <t xml:space="preserve">
</t>
    </r>
  </si>
  <si>
    <t>(Total de encuestas recibidas con calificación igual o superior al 80 por ciento, de empresas con seguimientos de programa preventivo de seguridad en el trabajo (t) / Total de encuestas recibidas de empresas con seguimientos de programa preventivo de seguridad en el trabajo (t)) X 100</t>
  </si>
  <si>
    <t>Estratégico-Calidad-Semestral</t>
  </si>
  <si>
    <t>E Accidentes y enfermedades de trabajo dictaminados</t>
  </si>
  <si>
    <r>
      <t>Cumplimiento promedio de las acciones en calificación de accidentes y enfermedades de trabajo y dictaminación de incapacidades permanentes y defunciones.</t>
    </r>
    <r>
      <rPr>
        <i/>
        <sz val="10"/>
        <color indexed="30"/>
        <rFont val="Soberana Sans"/>
      </rPr>
      <t xml:space="preserve">
</t>
    </r>
  </si>
  <si>
    <t>(Porcentaje de cumplimiento de la calificación accidentes de trabajo Acumulado al trimestre del reporte (t) + Porcentaje de cumplimiento de la calificación de accidentes en trayecto acumulado al trimestre del reporte (t) + Porcentaje de cumplimiento de la calificación de enfermedades de trabajo acumulado al trimestre del reporte (t) + Porcentaje de cumplimiento de la dictaminación de incapacidades permanentes y defunciones acumulado al trimestre del reporte (t))/4</t>
  </si>
  <si>
    <t>A 1 Elaboración y autorización de Dictámenes de Incapacidad Permanente o Defunción a través de Módulo Electrónico de Salud en el Trabajo</t>
  </si>
  <si>
    <r>
      <t xml:space="preserve"> Porcentaje de Dictámenes de incapacidad permanente y defunción autorizados a través del Módulo Electrónico de Salud en el Trabajo</t>
    </r>
    <r>
      <rPr>
        <i/>
        <sz val="10"/>
        <color indexed="30"/>
        <rFont val="Soberana Sans"/>
      </rPr>
      <t xml:space="preserve">
</t>
    </r>
  </si>
  <si>
    <t>(Número de dictámenes de incapacidad permanente y defunción autorizados en el módulo electrónico de salud en el trabajo acumulados al periodo de reporte (t)/  Número de dictámenes de incapacidad permanente y de defunción autorizados al periodo de reporte (t)) x 100</t>
  </si>
  <si>
    <t>B 2 Elaboración y autorización de Dictámenes de Invalidez a través de Módulo Electrónico de Salud en el Trabajo</t>
  </si>
  <si>
    <r>
      <t>Porcentaje de Dictamenes de Invalidez  autorizados a través del Módulo Electrónico de Salud en el Trabajo</t>
    </r>
    <r>
      <rPr>
        <i/>
        <sz val="10"/>
        <color indexed="30"/>
        <rFont val="Soberana Sans"/>
      </rPr>
      <t xml:space="preserve">
</t>
    </r>
  </si>
  <si>
    <t>(Número de dictámenes de invalidez autorizados a través del Módulo Electrónico de Salud en el Trabajo al periodo de reporte (t) / Total de dictámenes de invalidez autorizados en el periodo de reporte (t)) x 100</t>
  </si>
  <si>
    <t>C 3 Cursos de capacitación en seguridad y salud en el trabajo dirigidos a las empresas afiliadas al Instituto Mexicano del Seguro Social</t>
  </si>
  <si>
    <r>
      <t>Porcentaje de cumplimiento en la capacitación de trabajadores en seguridad y salud en el trabajo</t>
    </r>
    <r>
      <rPr>
        <i/>
        <sz val="10"/>
        <color indexed="30"/>
        <rFont val="Soberana Sans"/>
      </rPr>
      <t xml:space="preserve">
</t>
    </r>
  </si>
  <si>
    <t>(Número de trabajadores de empresas afiliadas y centros laborales del IMSS capacitados en seguridad y salud en el trabajo (t) / Número de trabajadores de empresas afiliadas y centros laborales del IMSS a capacitar en seguridad y salud en el trabajo (t)) x 100.</t>
  </si>
  <si>
    <t>C 4 Elaboración de Estudios y Programas Preventivos de Seguridad en el Trabajo, en empresas afiliadas, para la disminución de accidentes de trabajo</t>
  </si>
  <si>
    <r>
      <t>Porcentaje de cumplimiento en la elaboración de estudios y programas preventivos de seguridad en el trabajo</t>
    </r>
    <r>
      <rPr>
        <i/>
        <sz val="10"/>
        <color indexed="30"/>
        <rFont val="Soberana Sans"/>
      </rPr>
      <t xml:space="preserve">
</t>
    </r>
  </si>
  <si>
    <t>(Número de estudios y programas preventivos de seguridad en el trabajo realizados en empresas afiliadas y centros laborales del Instituto Mexicano del Seguro Social / Número de estudios y programas preventivos de seguridad en el trabajo programados en empresas afiliadas y centros laborales del Instituto Mexicano del Seguro Social) x 100</t>
  </si>
  <si>
    <t>D 5 Seguimientos a las empresas intervenidas con estudios y programas preventivos de seguridad en el trabajo</t>
  </si>
  <si>
    <r>
      <t>Porcentaje de seguimientos realizados en empresas con programas preventivos de seguridad en el trabajo.</t>
    </r>
    <r>
      <rPr>
        <i/>
        <sz val="10"/>
        <color indexed="30"/>
        <rFont val="Soberana Sans"/>
      </rPr>
      <t xml:space="preserve">
</t>
    </r>
  </si>
  <si>
    <t>(Total de seguimientos realizados a empresas con programas preventivos de seguridad en el trabajo (t) / Total de seguimientos programados a empresas con programas preventivos de seguridad en el trabajo (t)) x 100.</t>
  </si>
  <si>
    <t>E 6 Calificación de los probables riesgos de trabajo</t>
  </si>
  <si>
    <r>
      <t>Porcentaje de Calificación de los probables riesgos de trabajo</t>
    </r>
    <r>
      <rPr>
        <i/>
        <sz val="10"/>
        <color indexed="30"/>
        <rFont val="Soberana Sans"/>
      </rPr>
      <t xml:space="preserve">
</t>
    </r>
  </si>
  <si>
    <t>Número de riesgos de trabajo calificados y terminados en el periodo de reporte (t) / (Número de riesgos de trabajo calificados y terminados en el periodo de reporte (t) + Número de probables riesgos de trabajo pendientes de calificar en el periodo de reporte(t)) x 100</t>
  </si>
  <si>
    <r>
      <t xml:space="preserve">Tasa de mortalidad por riesgos de trabajo
</t>
    </r>
    <r>
      <rPr>
        <sz val="10"/>
        <rFont val="Soberana Sans"/>
        <family val="2"/>
      </rPr>
      <t>Sin Información,Sin Justificación</t>
    </r>
  </si>
  <si>
    <r>
      <t xml:space="preserve">Porcentaje de Cobertura de los servicios de Salud en el Trabajo
</t>
    </r>
    <r>
      <rPr>
        <sz val="10"/>
        <rFont val="Soberana Sans"/>
        <family val="2"/>
      </rPr>
      <t xml:space="preserve"> Causa : Las diversas áreas que conforman Salud en el Trabajo han atendido las solicitudes de servicio, de igual manera implementaron diversas estrategias para cumplir con las metas de las actividades sustantivas de esta Coordinación. Efecto: Se registra un cumplimiento de acuerdo a lo planeado. Otros Motivos:</t>
    </r>
  </si>
  <si>
    <r>
      <t xml:space="preserve">Porcentaje de dictámenes de incapacidad permanente y de defunción autorizados oportunamente
</t>
    </r>
    <r>
      <rPr>
        <sz val="10"/>
        <rFont val="Soberana Sans"/>
        <family val="2"/>
      </rPr>
      <t xml:space="preserve"> Causa : A partir del 4to trimestre de 2017 se modificó la forma de supervisar la información, siendo aún más estricta al revisar los casos de forma nominal, lo que permitirá que las Delegaciones clasifiquen correctamente  si hubo oportunidad en la autorización de los casos; además las respuestas de la mesa de servicios tecnológicos no son oportunas,  en casos de dictamenes con problemas en el modulo electrónico de salud en el trabajo. Efecto: 7.03 puntos por debajo de la meta. El resultado permitirá a las delegaciones visualizar el área de oportunidad para mejorar en el proceso de autorización de dictámenes. Otros Motivos:</t>
    </r>
  </si>
  <si>
    <r>
      <t xml:space="preserve">Porcentaje de dictámenes de invalidez autorizados oportunamente
</t>
    </r>
    <r>
      <rPr>
        <sz val="10"/>
        <rFont val="Soberana Sans"/>
        <family val="2"/>
      </rPr>
      <t xml:space="preserve"> Causa : A partir del 4to trimestre de 2017 se modificó la forma de supervisar la información, siendo aún más estricta al revisar los casos de forma nominal. Efecto: Durante el 3er trimestre de 2018, se obtuvo un resultado de 9.8% por debajo de la meta, que representa una mejora de 2.44 puntos respecto al trimestre anterior. Otros Motivos:</t>
    </r>
  </si>
  <si>
    <r>
      <t xml:space="preserve">Porcentaje de variación de la tasa de accidentes de trabajo en empresas intervenidas con programas preventivos de Seguridad en el Trabajo
</t>
    </r>
    <r>
      <rPr>
        <sz val="10"/>
        <rFont val="Soberana Sans"/>
        <family val="2"/>
      </rPr>
      <t xml:space="preserve"> Causa : Ha existido mayor compromiso de los patrones a los que se les han realizado programas preventivos de seguridad e higiene en el trabajo, disminuyendo los accidentes de trabajo.  Efecto: El indicador registra un valor de 26.9 por ciento, que representa una variación de 3.4% por encima de la referencia de 26 por ciento. Otros Motivos:</t>
    </r>
  </si>
  <si>
    <r>
      <t xml:space="preserve">Porcentaje de Satisfacción de Empresas Usuarias de los Servicios de Seguridad en el Trabajo
</t>
    </r>
    <r>
      <rPr>
        <sz val="10"/>
        <rFont val="Soberana Sans"/>
        <family val="2"/>
      </rPr>
      <t xml:space="preserve"> Causa : Las empresas que contestaron la encuesta, refieren que si están conformes y satisfechas con el servicio prestado por el personal  de Seguridad en el Trabajo del IMSS. Efecto: 1 punto por arriba de la meta. Otros Motivos:</t>
    </r>
  </si>
  <si>
    <r>
      <t xml:space="preserve">Cumplimiento promedio de las acciones en calificación de accidentes y enfermedades de trabajo y dictaminación de incapacidades permanentes y defunciones.
</t>
    </r>
    <r>
      <rPr>
        <sz val="10"/>
        <rFont val="Soberana Sans"/>
        <family val="2"/>
      </rPr>
      <t xml:space="preserve"> Causa : En los servicios de Salud en el Trabajo se ha tenido oportunidad de otorgar el servicio solicitado por los trabajadores. Efecto: Cumplimiento de la meta. Otros Motivos:</t>
    </r>
  </si>
  <si>
    <r>
      <t xml:space="preserve"> Porcentaje de Dictámenes de incapacidad permanente y defunción autorizados a través del Módulo Electrónico de Salud en el Trabajo
</t>
    </r>
    <r>
      <rPr>
        <sz val="10"/>
        <rFont val="Soberana Sans"/>
        <family val="2"/>
      </rPr>
      <t xml:space="preserve"> Causa : Se mantiene el uso del SIMF-SISAT, las Coordinaciones Delegacionales de Salud en el Trabajo implementan estrategias oportunas para facilitar el cumplimiento del indicador. Efecto: Cumplimiento con respecto a la meta. Otros Motivos:</t>
    </r>
  </si>
  <si>
    <r>
      <t xml:space="preserve">Porcentaje de Dictamenes de Invalidez  autorizados a través del Módulo Electrónico de Salud en el Trabajo
</t>
    </r>
    <r>
      <rPr>
        <sz val="10"/>
        <rFont val="Soberana Sans"/>
        <family val="2"/>
      </rPr>
      <t xml:space="preserve"> Causa : Se mantiene el uso del SIMF-SISAT, las Coordinaciones Delegacionales de Salud en el Trabajo implementan estrategias oportunas para facilitar el cumplimiento. Efecto: Registrar un cumplimiento  sin variacion respecto a la meta, lo que permite que la persona asegurada acceda a las prestaciones de manera más oportuna. Otros Motivos:</t>
    </r>
  </si>
  <si>
    <r>
      <t xml:space="preserve">Porcentaje de cumplimiento en la capacitación de trabajadores en seguridad y salud en el trabajo
</t>
    </r>
    <r>
      <rPr>
        <sz val="10"/>
        <rFont val="Soberana Sans"/>
        <family val="2"/>
      </rPr>
      <t xml:space="preserve"> Causa : En este periodo la demanda de las empresas por el servicio de capacitación en seguridad y salud en el trabajo se incrementó a lo planeado, registrándose un 3.2 por ciento superior a la referencia planeada.  Efecto: Mayor número de trabajadores capacitados en materia de seguridad e higiene en el trabajo, para efecto de la prevención de accidentes y enfermedades laborales. Otros Motivos:</t>
    </r>
  </si>
  <si>
    <r>
      <t xml:space="preserve">Porcentaje de cumplimiento en la elaboración de estudios y programas preventivos de seguridad en el trabajo
</t>
    </r>
    <r>
      <rPr>
        <sz val="10"/>
        <rFont val="Soberana Sans"/>
        <family val="2"/>
      </rPr>
      <t xml:space="preserve"> Causa : Las empresas aceptaron el apoyo del Instituto y facilitaron el desempeño de los  Especialistas en Seguridad en el Trabajo, para la elaboración de Estudios y Programas Preventivos de Seguridad e Higiene en el Trabajo, con el fin de coadyuvar en la prevención de los accidentes y enfermedades laborales. Efecto: Mayor número de empresas con condiciones de seguridad e higiene en el trabajo, dignas para los trabajadores que en éstas laboran. Otros Motivos:</t>
    </r>
  </si>
  <si>
    <r>
      <t xml:space="preserve">Porcentaje de seguimientos realizados en empresas con programas preventivos de seguridad en el trabajo.
</t>
    </r>
    <r>
      <rPr>
        <sz val="10"/>
        <rFont val="Soberana Sans"/>
        <family val="2"/>
      </rPr>
      <t xml:space="preserve"> Causa : En razón de la atención dedicada a la elaboración de Estudios y Programas Preventivos de Seguridad e Higiene en el Trabajo, motivó en el trimestre, la disminución de los seguimientos en 3.56 por ciento puntos porcentuales con relación a la referencia de 73 por ciento en este indicador. Efecto: Disminución de orientaciones y asesorías a las empresas para el cumplimiento de las disposiciones de prevención referidas en los Programas Preventivos de Seguridad e Higiene en el Trabajo. Otros Motivos:</t>
    </r>
  </si>
  <si>
    <r>
      <t xml:space="preserve">Porcentaje de Calificación de los probables riesgos de trabajo
</t>
    </r>
    <r>
      <rPr>
        <sz val="10"/>
        <rFont val="Soberana Sans"/>
        <family val="2"/>
      </rPr>
      <t xml:space="preserve"> Causa : Los trabajadores asegurados no se han presentado a continuar con su tramite posterior a la atención médica inicial en el Instituto, aunado con la situación que la mayoría de las delegaciones no se ha concluido con el tramite de contratación de empresa que les brinda el servicio de correo certificado que permita enviar los formatos ST-7 y ST-9 al patrón, situaciones que no permiten concluir con el trámite de calificación del riesgo de trabajo. Efecto: 13.52 puntos por debajo de la meta. Otros Motivos:</t>
    </r>
  </si>
  <si>
    <t>E004</t>
  </si>
  <si>
    <t>Investigación y desarrollo tecnológico en salud</t>
  </si>
  <si>
    <t>Perspectiva de Género</t>
  </si>
  <si>
    <t>3 - Desarrollo Económico</t>
  </si>
  <si>
    <t>8 - Ciencia, Tecnología e Innovación</t>
  </si>
  <si>
    <t>1 - Investigación Científica</t>
  </si>
  <si>
    <t>24 - Investigación en salud pertinente y de excelencia académica</t>
  </si>
  <si>
    <t>Contribuir a impulsar la educación científica y tecnológica como elemento indispensable para la transformación de México en una sociedad del conocimiento mediante Consolidar la Investigación en Salud, en beneficio de la salud de los Derechohabientes del IMSS.</t>
  </si>
  <si>
    <r>
      <t>Gasto en Investigación Científica y Desarrollo Experimental (GIDE) ejecutado por la Instituciones de Educación Superior (IES) respecto al Producto Interno Bruto (PIB)</t>
    </r>
    <r>
      <rPr>
        <i/>
        <sz val="10"/>
        <color indexed="30"/>
        <rFont val="Soberana Sans"/>
      </rPr>
      <t xml:space="preserve">
Indicador Seleccionado</t>
    </r>
  </si>
  <si>
    <t>El indicador es una relación expresada como porcentaje.  Fórmula de cálculo:  IIIES=GIDEIES/PIB x100,     donde:  IIIES : Índice de inversión en investigación en instituciones de educación superior  GIDEIES: Gasto en investigación y desarrollo experimental ejecutado por las IES en el año de referencia.  PIB: Producto Interno Bruto en el año de referencia</t>
  </si>
  <si>
    <r>
      <t>Investigadores que pertenecen al Sistema Nacional de Investigadores</t>
    </r>
    <r>
      <rPr>
        <i/>
        <sz val="10"/>
        <color indexed="30"/>
        <rFont val="Soberana Sans"/>
      </rPr>
      <t xml:space="preserve">
</t>
    </r>
  </si>
  <si>
    <t>[(Número de Investigadores del Instituto Mexicano del Seguro Social que pertenecen al Sistema Nacional de Investigadores) / (Total de Investigadores del Instituto Mexicano del Seguro Social)] x 100      [(SIGMA)  Xi  / (SIGMA)   Yi ] * 100                                                                                                                                                                     Dónde:                                                                                                                                                                                                   X =  Investigadores del Instituto Mexicano del Seguro Social que pertenecen al Sistema Nacional de Investigadores   Y =  Investigadores del Instituto Mexicano del Seguro Social</t>
  </si>
  <si>
    <r>
      <t>Impacto de las Publicaciones Científicas generadas por el IMSS, en las áreas de conocimiento médico científico.</t>
    </r>
    <r>
      <rPr>
        <i/>
        <sz val="10"/>
        <color indexed="30"/>
        <rFont val="Soberana Sans"/>
      </rPr>
      <t xml:space="preserve">
</t>
    </r>
  </si>
  <si>
    <t>[(Artículos Científicos, generados por personal Institucional, que han sido publicados en revistas incorporadas al Journal Citation Report incluidas en los Cuartiles 1 y 2) / (Total de Artículos Científicos que han sido publicados en revistas incorporadas al Journal Citation Report)] x 100     [(SIGMA) Xi / (SIGMA) Yi ] * 100     Dónde:   X = Artículos Científicos, generados por personal Institucional, que han sido publicados en revistas incorporadas al Index Medicus ó Current Contents     Y = Artículos Científicos generados en el Instituto Mexicano del Seguro Social.</t>
  </si>
  <si>
    <r>
      <t>Porcentaje de Publicaciones Científicas con Factor de Impacto.</t>
    </r>
    <r>
      <rPr>
        <i/>
        <sz val="10"/>
        <color indexed="30"/>
        <rFont val="Soberana Sans"/>
      </rPr>
      <t xml:space="preserve">
</t>
    </r>
  </si>
  <si>
    <t>[(Sumatoria de Artículos Científicos generados por personal del IMSS y que han sido publicados en revistas incorporadas al Journal Citation Reports) / (Sumatoria de Artículos Científicos generados por personal del IMSS y que han sido publicados en revistas médico-científicas arbitradas)] x 100</t>
  </si>
  <si>
    <t>Los Derechohabientes del IMSS favorecen su estado de salud con la contribución de los productos científicos de calidad generados por la Investigación en Salud desarrollada en el Instituto.</t>
  </si>
  <si>
    <r>
      <t>Porcentaje de Publicaciones Científicas Indizadas</t>
    </r>
    <r>
      <rPr>
        <i/>
        <sz val="10"/>
        <color indexed="30"/>
        <rFont val="Soberana Sans"/>
      </rPr>
      <t xml:space="preserve">
</t>
    </r>
  </si>
  <si>
    <t>[(Artículos Científicos, generados por personal Institucional, que han sido publicados en revistas incorporadas al Index Medicus ó Current Contents) / (Total de Artículos Científicos generados en el Instituto Mexicano del Seguro Social)] x 100     [(SIGMA) Xi / (SIGMA) Yi ] * 100     Dónde:   X = Artículos Científicos, generados por personal Institucional, que han sido publicados en revistas incorporadas al Index Medicus ó Current Contents     Y = Artículos Científicos generados en el Instituto Mexicano del Seguro Social.</t>
  </si>
  <si>
    <t>A Recursos humanos formados en Maestrías y Doctorados.</t>
  </si>
  <si>
    <r>
      <t>Protocolos de Investigación Científica y Desarrollo Tecnológico relacionados a los Temas Prioritarios de Investigación en Salud</t>
    </r>
    <r>
      <rPr>
        <i/>
        <sz val="10"/>
        <color indexed="30"/>
        <rFont val="Soberana Sans"/>
      </rPr>
      <t xml:space="preserve">
</t>
    </r>
  </si>
  <si>
    <t>[(Protocolos de Investigación Científica y Desarrollo Tecnológico relacionados a los Temas Prioritarios de Investigación en Salud) / (Total de Protocolos de Investigación Científica y Desarrollo Tecnológico Autorizados (Registrados) en el Instituto Mexicano del Seguro Social)] x 100     [(SIGMA) Xi / (SIGMA) Yi ] * 100     Dónde:   X = Protocolos de Investigación Científica y Desarrollo Tecnológico relacionados a los Temas Prioritarios de Investigación en Salud     Y = Protocolos de Investigación Científica y Desarrollo Tecnológico Autorizados (Registrados) en el Instituto Mexicano del Seguro Social.</t>
  </si>
  <si>
    <r>
      <t>Culminación en cursos de maestría y doctorado</t>
    </r>
    <r>
      <rPr>
        <i/>
        <sz val="10"/>
        <color indexed="30"/>
        <rFont val="Soberana Sans"/>
      </rPr>
      <t xml:space="preserve">
</t>
    </r>
  </si>
  <si>
    <t>([(Sumatoria de alumnos IMSS que culminan cursos de maestría y doctorado en el periodo t) / (Sumatoria de alumnos IMSS que culminan cursos de maestría y doctorado en el periodo t-k)] - (1)) x 100</t>
  </si>
  <si>
    <t>Tasa de variación</t>
  </si>
  <si>
    <t>B Protocolos de Investigación Científica y Desarrollo Tecnológico Autorizados (Registrados).</t>
  </si>
  <si>
    <r>
      <t>Protocolos de Investigación Científica y Desarrollo Tecnológico Autorizados.</t>
    </r>
    <r>
      <rPr>
        <i/>
        <sz val="10"/>
        <color indexed="30"/>
        <rFont val="Soberana Sans"/>
      </rPr>
      <t xml:space="preserve">
</t>
    </r>
  </si>
  <si>
    <t>[[(Sumatoria de Protocolos de Investigación Científica y Desarrollo Tecnológico Autorizados en el IMSS  durante el periodo t) / (Sumatoria de Protocolos de Investigación Científica y Desarrollo Tecnológico Autorizados en el IMSS  durante el periodo t-k)] - (1)] x 100</t>
  </si>
  <si>
    <t>B 1 Dictamen de Protocolos de Investigación Científica y Desarrollo Tecnológico</t>
  </si>
  <si>
    <r>
      <t>Comités Locales de Investigación en Salud activos.</t>
    </r>
    <r>
      <rPr>
        <i/>
        <sz val="10"/>
        <color indexed="30"/>
        <rFont val="Soberana Sans"/>
      </rPr>
      <t xml:space="preserve">
</t>
    </r>
  </si>
  <si>
    <t xml:space="preserve">[(Número de Comités Locales de Investigación en Salud activos en el Instituto Mexicano del Seguro Social) / (Total de Comités Locales de Investigación yen Salud del Instituto Mexicano del Seguro Social)] x 100     </t>
  </si>
  <si>
    <r>
      <t>Protocolos de Investigación Científica y Desarrollo Tecnológico Dictaminados.</t>
    </r>
    <r>
      <rPr>
        <i/>
        <sz val="10"/>
        <color indexed="30"/>
        <rFont val="Soberana Sans"/>
      </rPr>
      <t xml:space="preserve">
</t>
    </r>
  </si>
  <si>
    <t>[[(Sumatoria de Protocolos de Investigación Científica y Desarrollo Tecnológico Dictaminados en el IMSS  durante el periodo t) / (Sumatoria de Protocolos de Investigación Científica y Desarrollo Tecnológico Dictaminados en el IMSS  durante el periodo t-k)] - (1)] x 100</t>
  </si>
  <si>
    <r>
      <t xml:space="preserve">Gasto en Investigación Científica y Desarrollo Experimental (GIDE) ejecutado por la Instituciones de Educación Superior (IES) respecto al Producto Interno Bruto (PIB)
</t>
    </r>
    <r>
      <rPr>
        <sz val="10"/>
        <rFont val="Soberana Sans"/>
        <family val="2"/>
      </rPr>
      <t>Sin Información,Sin Justificación</t>
    </r>
  </si>
  <si>
    <r>
      <t xml:space="preserve">Investigadores que pertenecen al Sistema Nacional de Investigadores
</t>
    </r>
    <r>
      <rPr>
        <sz val="10"/>
        <rFont val="Soberana Sans"/>
        <family val="2"/>
      </rPr>
      <t>Sin Información,Sin Justificación</t>
    </r>
  </si>
  <si>
    <r>
      <t xml:space="preserve">Impacto de las Publicaciones Científicas generadas por el IMSS, en las áreas de conocimiento médico científico.
</t>
    </r>
    <r>
      <rPr>
        <sz val="10"/>
        <rFont val="Soberana Sans"/>
        <family val="2"/>
      </rPr>
      <t xml:space="preserve"> Causa : La causa fue debido a que durante el periodo de reporte, el IMSS ha consolidado el Programa Estratégico para Fortalecer la Investigación Científica Institucional, cuyo objetivo es incrementar el número de artículos publicados por personal de la salud adscrito a las Unidades Médicas o Unidad de Investigación del IMSS; derivado de lo anterior, el Instituto favoreció que su personal de salud  desarrolle actividades de investigación en salud de relevancia y con los más altos estándares de calidad internacional.  Destaca el siguiente hecho, publicar en Revistas ubicadas en Cuartiles Q1 y Q2,  requiere de mayor rigurosidad para la aceptación de los Resultados de Investigación que serán publicados en éste tipo de Revistas de vanguardia Internacional, altamente valoradas por sus aportaciones en cada Área de Conocimiento Médico Científico; mismas, que permiten la actualización de los Procesos de Atención Médica que contribuyen a mejorar la calidad de los Servicios de Prestaciones Médicas que el Instituto oferta a sus Derechohabientes.  En éste sentido, el IMSS continúa siendo  pionero entre las Instituciones de Salud Mexicanas, al adoptar éste innovador sistema de evaluación. Efecto: El efecto de la evaluación al valorar el cuartil de las Revistas con Factor de Impacto en que se publican resultados de Investigación, ha motivado al Personal Institucional para publicar artículos científicos en Revistas con alto impacto Internacional y de vanguardia para cada Área de Conocimiento Médico Científico; logrando el cumplimiento de la meta propuesta para el periodo de reporte.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En el segundo semestre del 2018, Clarivate Analytics realizó la actualización del Journal Citation Report, con lo que las revistas médico científicas tuvieron un ajuste en su ubicación por cuartiles, según el área de conocimiento al que pertenecen. </t>
    </r>
  </si>
  <si>
    <r>
      <t xml:space="preserve">Porcentaje de Publicaciones Científicas con Factor de Impacto.
</t>
    </r>
    <r>
      <rPr>
        <sz val="10"/>
        <rFont val="Soberana Sans"/>
        <family val="2"/>
      </rPr>
      <t xml:space="preserve"> Causa : La causa fue debido a que durante primer semestre del 2018, el IMSS ha consolidado el Programa Estratégico para Fortalecer la Investigación Científica Institucional, cuyo objetivo es incrementar el número de artículos publicados por personal de la salud adscrito a las Unidades Médicas o Unidad de Investigación del IMSS; derivado de lo anterior, el Instituto favoreció que su personal de salud  desarrolle actividades de investigación en salud de relevancia y con los más altos estándares de calidad internacional. Efecto: El efecto fue una mayor aceptación de los resultados de investigación científica generados por Personal Institucional para ser publicados por las Revistas con Factor de Impacto incluidas en el Journal Citation Report de Clarivate Analytics; se destaca,  el notable incremento en el número absoluto de publicaciones con factor de impacto, registrando un variación positiva de 26.63% (90)  y 5.68% (23), comparado con lo reportado para los mismos periodos en los ejercicio 2016 y 2017, respectivamente.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t>
    </r>
  </si>
  <si>
    <r>
      <t xml:space="preserve">Porcentaje de Publicaciones Científicas Indizadas
</t>
    </r>
    <r>
      <rPr>
        <sz val="10"/>
        <rFont val="Soberana Sans"/>
        <family val="2"/>
      </rPr>
      <t xml:space="preserve"> Causa : La causa fue debido a que durante primer semestre del 2018, el IMSS ha consolidado el Programa Estratégico para Fortalecer la Investigación Científica Institucional, cuyo objetivo es incrementar el número de artículos publicados por personal de la salud adscrito a las Unidades Médicas o Unidad de Investigación del IMSS; derivado de lo anterior, el Instituto favoreció que su personal de salud  desarrolle actividades de investigación en salud de relevancia y con los más altos estándares de calidad internacional.  Siendo así, el personal del IMSS se encuentra motivado para competir internacionalmente con la publicación de sus resultados de investigación en las Revistas Internacionales de vanguardia, para cada Área de Conocimiento Médico Científico. Efecto: El efecto fue una disminución en el porcentaje de resultados de investigación científica generados por Personal Institucional que fueron publicados en las Revistas Indizadas; no obstante, en el número absoluto de publicaciones indizadas se registran variaciones de  4.83% (+25)  y  -1.45% (-8), respecto a los mismos periodos de reporte en los ejercicios 2016 y 2017.  Destaca que el número total de publicaciones científicas generadas por el IMSS (denominador del presente indicador), registra incrementos de 6.52% (53)  y  5.74% (47), respecto a los mismos periodos de reporte en los ejercicios 2016 y 2017.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t>
    </r>
  </si>
  <si>
    <r>
      <t xml:space="preserve">Protocolos de Investigación Científica y Desarrollo Tecnológico relacionados a los Temas Prioritarios de Investigación en Salud
</t>
    </r>
    <r>
      <rPr>
        <sz val="10"/>
        <rFont val="Soberana Sans"/>
        <family val="2"/>
      </rPr>
      <t xml:space="preserve"> Causa : La causa fue debido a que el Instituto continúa la promoción del desarrollo de las actividades de investigación en salud que cumplen con estándares internacionales para su autorización y que se apegan a las principales causas de morbi-mortalidad que aquejan a los Derechohabientes del IMSS. Efecto: El efecto fue el Registro de Protocolos de Investigación Científica y Desarrollo Tecnológico, propuestos por personal institucional, que cumplen con los estándares internacionales para su autorización  y que se apegan a las principales causas de morbi-mortalidad que aquejan a los Derechohabientes del IMSS;  logrando el cumplimiento de la meta propuesta para el periodo de reporte.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El impulso institucional se ha conjuntado con el interés del personal para  desarrollar  actividades de investigación en salud.</t>
    </r>
  </si>
  <si>
    <r>
      <t xml:space="preserve">Culminación en cursos de maestría y doctorado
</t>
    </r>
    <r>
      <rPr>
        <sz val="10"/>
        <rFont val="Soberana Sans"/>
        <family val="2"/>
      </rPr>
      <t>Sin Información,Sin Justificación</t>
    </r>
  </si>
  <si>
    <r>
      <t xml:space="preserve">Protocolos de Investigación Científica y Desarrollo Tecnológico Autorizados.
</t>
    </r>
    <r>
      <rPr>
        <sz val="10"/>
        <rFont val="Soberana Sans"/>
        <family val="2"/>
      </rPr>
      <t xml:space="preserve"> Causa : La causa fue debido a que el Instituto continúa favoreciendo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En éste sentido, durante el 2018 se ha consolidado la integración y funcionamiento de los Comités de Ética en Investigación (CEI) en apego a lineamientos establecidos por la Comisión Nacional de Bioética (CONBIOETICA); siendo así, éstos Comités   se suman en la evaluación de los Protocolos de Investigación en Salud que son sometidos por Personal del IMSS, emitiendo dictamenes como i) Autorizado, ii) Modificar y Volver a Presentar,  y como iii) No Autorizado.  Respecto al número de Protocolos de Investigación que se mantienen en periodo de evaluación, al ser dictaminados como Modificar y Volver a Presentar, destacan los incrementos del 83% (455) y 33.6% (251),  en comparación a lo registrado en los ejercicios 2016 y 2017;  con ello, disminuyó el número de Protocolos Autorizados al ser sometidos conjuntamente a CLIS y CLEI. Efecto: El efecto fue un menor número de Protocolos de Investigación Científica y Desarrollo Tecnológico, propuestos por personal institucional, que fueron autorizados para su desarrollo.  Destaca el hecho, se ha incrementado la calidad de los Protocolos de Investigación Científica y Desarrollo Tecnológico autorizados para su desarrollo en el IMSS, ante la evaluación conjunta de los mismos ante CLIS y CEI.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Debe considerarse que el proceso de integración de los Comités Locales de Investigación en Salud (CLIS) deben apegarse a las disposiciones de la  Ley  General de Salud y su Reglamento en materia de Investigación en Salud, que implica la intervención de factores externos a la Institución (COFEPRIS y CONBIOETICA) que pueden condicionar fluctuaciones en la autorización de los Protocolos de Investigación Científica y Desarrollo Tecnológico.</t>
    </r>
  </si>
  <si>
    <r>
      <t xml:space="preserve">Comités Locales de Investigación en Salud activos.
</t>
    </r>
    <r>
      <rPr>
        <sz val="10"/>
        <rFont val="Soberana Sans"/>
        <family val="2"/>
      </rPr>
      <t xml:space="preserve"> Causa : La causa fue debido a que el Instituto continúa favoreciendo que los Comités Locales de Investigación en Salud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Efecto: El efecto fue que los Comités Locales de Investigación en Salud del IMSS se encuentran en proceso de renovación de la vigencia de sus registros ante la Comisión Federal para la Protección contra Riesgos Sanitarios (COFEPRIS); a 1.5% de cumplir con la meta propuesta. Otros Motivos:Por tal razón, debe considerarse que el proceso de integración de los Comités Locales de Investigación en Salud deben apegarse a las disposiciones de la  Ley  General de Salud y su Reglamento en materia de Investigación en Salud, que implica la intervención de factores externos a la Institución (COFEPRIS) que pueden condicionar fluctuaciones en los resultados de acuerdo a su aceptación.</t>
    </r>
  </si>
  <si>
    <r>
      <t xml:space="preserve">Protocolos de Investigación Científica y Desarrollo Tecnológico Dictaminados.
</t>
    </r>
    <r>
      <rPr>
        <sz val="10"/>
        <rFont val="Soberana Sans"/>
        <family val="2"/>
      </rPr>
      <t xml:space="preserve"> Causa : La causa fue debido a que el Instituto continúa favoreciendo que los Comités Locales de Investigación y Ética en Investigación cumplan con los requerimientos de la Ley  General de Salud y su Reglamento en materia de Investigación en Salud, a fin de evaluar las propuestas de Investigación Científica y  Desarrollo Tecnológico  y garantizar que cumplan con estándares  nacionales e internacionales para su evaluación y dictamen. Efecto: El efecto fue el dictamen de Protocolos de Investigación Científica y Desarrollo Tecnológico que fueron elaborados por personal institucional para ser sometidos a  evaluación y dictamen;  logrando el cumplimiento de la meta propuesta para el periodo de reporte. Otros Motivos:Por tal razón, debe considerarse que la elaboración de protocolos de investigación científica por el personal de salud requiere tanto de un medio laboral  favorable para desarrollar actividades de investigación en salud como de interés y motivación individuales.   El impulso institucional se ha conjuntado con el interés del personal para  desarrollar  actividades de investigación en salud.</t>
    </r>
  </si>
  <si>
    <t>E006</t>
  </si>
  <si>
    <t>Recaudación de ingresos obrero patronales</t>
  </si>
  <si>
    <t>3 - Generación de Recursos para la Salud</t>
  </si>
  <si>
    <t>5 - Servicios de incorporación y recaudación</t>
  </si>
  <si>
    <t>Contribuir a avanzar en la construcción de un Sistema Nacional de Salud Universal bajo la rectoría de la Secretaría de Salud mediante la recaudación eficiente de las cuotas obrero-patronales, con una mayor incorporación y una mejor fiscalización y cobranza.</t>
  </si>
  <si>
    <r>
      <t>Porcentaje de población con aseguramiento público en salud que usa servicios públicos de atención médica</t>
    </r>
    <r>
      <rPr>
        <i/>
        <sz val="10"/>
        <color indexed="30"/>
        <rFont val="Soberana Sans"/>
      </rPr>
      <t xml:space="preserve">
Indicador Seleccionado</t>
    </r>
  </si>
  <si>
    <t>Resulta de restar al cien por ciento de la población la suma del porcentaje de población sin aseguramiento público y el porcentaje de población que teniendo aseguramiento público de salud utiliza servicios privados de atención médica</t>
  </si>
  <si>
    <r>
      <t>Tasa de variación bianual en el número de población derechohabiente adscrita a unidad de medicina familiar.</t>
    </r>
    <r>
      <rPr>
        <i/>
        <sz val="10"/>
        <color indexed="30"/>
        <rFont val="Soberana Sans"/>
      </rPr>
      <t xml:space="preserve">
</t>
    </r>
  </si>
  <si>
    <t>((Número de población derechohabiente adscrita a unidad de medicina familiar al semestre t) / (Número de población derechohabiente adscrita unidad de medicina familiar al semestre t-4)-1) x 100</t>
  </si>
  <si>
    <t>Las cuotas obrero-patronales son recaudadas eficientemente con una mayor incorporación y una mejor fiscalización y cobranza.</t>
  </si>
  <si>
    <r>
      <t>Tasa de variación bianual en la recaudación por ingresos obrero-patronales.</t>
    </r>
    <r>
      <rPr>
        <i/>
        <sz val="10"/>
        <color indexed="30"/>
        <rFont val="Soberana Sans"/>
      </rPr>
      <t xml:space="preserve">
</t>
    </r>
  </si>
  <si>
    <t>((Importe nominal acumulado de los ingresos obrero-patronales al semestre t) / (Importe nominal acumulado de los ingresos obrero-patronales al semestre t-4)-1) X 100</t>
  </si>
  <si>
    <t>A Cobranza y Fiscalización de cuotas obrero-patronales optimizadas.</t>
  </si>
  <si>
    <r>
      <t>Razón de la mora en días de emisión</t>
    </r>
    <r>
      <rPr>
        <i/>
        <sz val="10"/>
        <color indexed="30"/>
        <rFont val="Soberana Sans"/>
      </rPr>
      <t xml:space="preserve">
</t>
    </r>
  </si>
  <si>
    <t>((Saldo de la cartera en mora al semestre t )/(Importe promedio diario de la Emisión Mensual Anticipada incluyendo al IMSS como patrón, al semestre t))</t>
  </si>
  <si>
    <t>Días</t>
  </si>
  <si>
    <r>
      <t>Porcentaje de las cuotas obrero-patronales pagadas oportunamente.</t>
    </r>
    <r>
      <rPr>
        <i/>
        <sz val="10"/>
        <color indexed="30"/>
        <rFont val="Soberana Sans"/>
      </rPr>
      <t xml:space="preserve">
</t>
    </r>
  </si>
  <si>
    <t>((Importe acumulado de la Emisión Mensual Anticipada de las modalidades 10, 13 y 17 pagado oportunamente al semestre t)/(Importe de la Emisión Total Ajustada de las modalidades 10, 13 y 17 al semestre t)) x 100</t>
  </si>
  <si>
    <t>Estratégico-Economía-Semestral</t>
  </si>
  <si>
    <t>B Incorporación de asegurados trabajadores optimizada.</t>
  </si>
  <si>
    <r>
      <t>Tasa de variación bianual en el salario base asociado a asegurados trabajadores.</t>
    </r>
    <r>
      <rPr>
        <i/>
        <sz val="10"/>
        <color indexed="30"/>
        <rFont val="Soberana Sans"/>
      </rPr>
      <t xml:space="preserve">
</t>
    </r>
  </si>
  <si>
    <t>((Salario base de cotización asociado a asegurados trabajadores registrado en promedio al semestre t) / (Salario base de cotización asociado a asegurados trabajadores registrado en promedio al semestre t-4)-1) x 100</t>
  </si>
  <si>
    <r>
      <t>Tasa de variación bianual en el número de asegurados trabajadores.</t>
    </r>
    <r>
      <rPr>
        <i/>
        <sz val="10"/>
        <color indexed="30"/>
        <rFont val="Soberana Sans"/>
      </rPr>
      <t xml:space="preserve">
</t>
    </r>
  </si>
  <si>
    <t>((Número de asegurados trabajadores promedio al semestre t) / (Número de asegurados trabajadores promedio al semestre t-4)-1) x 100</t>
  </si>
  <si>
    <t>B 1 Compartida 1: Digitalización de los trámites de incorporación al IMSS.</t>
  </si>
  <si>
    <r>
      <t>Porcentaje de transacciones de asignación o localización de NSS realizadas en línea (IMSS Digital).</t>
    </r>
    <r>
      <rPr>
        <i/>
        <sz val="10"/>
        <color indexed="30"/>
        <rFont val="Soberana Sans"/>
      </rPr>
      <t xml:space="preserve">
</t>
    </r>
  </si>
  <si>
    <t>((Número de transacciones de asignación o localización de Número de Seguridad Social (NSS) realizadas en línea (IMSS Digital) al semestre t)/(Número de transacciones de asignación o localización de Número de Seguridad Social (NSS) totales al semestre t))x100</t>
  </si>
  <si>
    <t>Gestión-Eficacia-Semestral</t>
  </si>
  <si>
    <t>B 2 Compartida 2: Implementación del nuevo modelo integral de fiscalización.</t>
  </si>
  <si>
    <r>
      <t>Porcentaje de efectividad en actos de fiscalización.</t>
    </r>
    <r>
      <rPr>
        <i/>
        <sz val="10"/>
        <color indexed="30"/>
        <rFont val="Soberana Sans"/>
      </rPr>
      <t xml:space="preserve">
</t>
    </r>
  </si>
  <si>
    <t>((Número de actos de fiscalización concluidos  con observaciones al semestre t ) / (Total de actos de fiscalización concluidos al semestre t))x 100</t>
  </si>
  <si>
    <r>
      <t xml:space="preserve">Porcentaje de población con aseguramiento público en salud que usa servicios públicos de atención médica
</t>
    </r>
    <r>
      <rPr>
        <sz val="10"/>
        <rFont val="Soberana Sans"/>
        <family val="2"/>
      </rPr>
      <t>Sin Información,Sin Justificación</t>
    </r>
  </si>
  <si>
    <r>
      <t xml:space="preserve">Tasa de variación bianual en el número de población derechohabiente adscrita a unidad de medicina familiar.
</t>
    </r>
    <r>
      <rPr>
        <sz val="10"/>
        <rFont val="Soberana Sans"/>
        <family val="2"/>
      </rPr>
      <t xml:space="preserve"> Causa : Con información al mes de mayo de 2018, la tasa de variación bianual de la población derechohabiente adscrita, respecto al periodo enero-junio de 2016, fue de 4.69%.   Al facilitar el cumplimiento voluntario de los patrones y el ejercicio de los derechos de asegurados y derechohabientes, las estrategias del IMSS Digital y del Nuevo Modelo de Atención Institucional se han traducido en una mayor cobertura de la seguridad social. Efecto: Mayor cobertura de seguridad social. Otros Motivos:Se reporta información del periodo enero-mayo de 2018, debido a que como se específica en la ficha técnica correspondiente, esta información se genera 20 días naturales después del cierre del semestre. La información al mes de junio estará disponible para el reporte del segundo semestre de 2018.</t>
    </r>
  </si>
  <si>
    <r>
      <t xml:space="preserve">Tasa de variación bianual en la recaudación por ingresos obrero-patronales.
</t>
    </r>
    <r>
      <rPr>
        <sz val="10"/>
        <rFont val="Soberana Sans"/>
        <family val="2"/>
      </rPr>
      <t xml:space="preserve"> Causa : Con información al mes de junio de 2018, la tasa de variación bianual  en la recaudación por ingresos obrero-patronales, respecto al periodo enero-junio de 2016, fue de 18.75%.   Las dos estrategias del IMSS, IMSS Digital y una mejor fiscalización, tienen un efecto positivo en la formalización del empleo y en mejores salarios, lo que a su vez incrementa el ingreso obrero-patronal. Efecto: Mayor recaudación.    Otros Motivos:De acuerdo a lo especifícado en la ficha técnica correspondiente, la cifra de ingresos al mes de junio es preliminar. La cifra definitiva se publica a partir el día 17 hábil del mes inmediato posterior al mes que se reporta.</t>
    </r>
  </si>
  <si>
    <r>
      <t xml:space="preserve">Razón de la mora en días de emisión
</t>
    </r>
    <r>
      <rPr>
        <sz val="10"/>
        <rFont val="Soberana Sans"/>
        <family val="2"/>
      </rPr>
      <t xml:space="preserve"> Causa : Con información al mes de junio de 2018, la razón de la mora en días de emisión fue de 30.82 días.   Las acciones en materia de cobranza permitieron mantener la proporción de la mora dentro de los límites esperados, con lo cual se cumplió la meta aprobada del periodo en 98%. Efecto: Menor cartera en mora.  En el marco del Nuevo Modelo de Fiscalización, durante la presente Administración inició la segmentación de la cartera de créditos fiscales considerando, entre otros criterios, el tipo de patrón deudor, y monto, tipo y antigüedad de los adeudos, lo que ha tenido un impacto positivo en la recuperación de créditos Otros Motivos:Se reporta información del periodo enero-junio.</t>
    </r>
  </si>
  <si>
    <r>
      <t xml:space="preserve">Porcentaje de las cuotas obrero-patronales pagadas oportunamente.
</t>
    </r>
    <r>
      <rPr>
        <sz val="10"/>
        <rFont val="Soberana Sans"/>
        <family val="2"/>
      </rPr>
      <t xml:space="preserve"> Causa : Con información al mes de abril de 2018, el porcentaje de las cuotas obrero-patronales pagadas oportunamente fue de 93.66%.   Las acciones llevadas en cabo en materia de cobranza y fiscalización se traducen en la reducción de los tiempos y costos que los patrones y ciudadanos invierten en realizar trámites relacionados con el pago de cuotas.  Efecto: Recaudación oportuna.   Las acciones llevadas en cabo en materia de cobranza y fiscalización continúan centrándose en el desarrollo de un nuevo modelo de atención institucional, que incorpora la creación de una unidad de grandes patrones, la ejecución de un nuevo modelo integral de fiscalización, y la simplificación y digitalización de trámites relativos al pago de contribuciones. Aunque resulta complejo cuantificar el impacto de estas acciones (en materia de cobranza y fiscalización) en la recaudación del IMSS, sin duda la reducción de los tiempos y costos que los patrones y ciudadanos invierten en realizar trámites relacionados con su afiliación y pago de cuotas tienen un efecto positivo en la oportunidad con la que los patrones pagan sus cuotas. Otros Motivos:Se reporta información del periodo enero-abril.   De acuerdo a lo especificado en la ficha técnica correspondiente, esta información se genera dos meses después de la Emisión Mensual Anticipada, por lo que la información al primer semestre estará disponible hasta fines del mes de septiembre. </t>
    </r>
  </si>
  <si>
    <r>
      <t xml:space="preserve">Tasa de variación bianual en el salario base asociado a asegurados trabajadores.
</t>
    </r>
    <r>
      <rPr>
        <sz val="10"/>
        <rFont val="Soberana Sans"/>
        <family val="2"/>
      </rPr>
      <t xml:space="preserve"> Causa : Con información al mes de junio de 2018, la tasa de variación bianual en el salario base asociado a asegurados trabajadores,  respecto al periodo enero-junio de 2016, fue de 10.44%.   Las dos estrategias del IMSS, IMSS Digital y una mejor fiscalización, tienen un efecto positivo en la formalización del empleo y en el correcto registro del salario de trabajadores. Efecto: Mejores salarios para el empleo formal. Otros Motivos:De acuerdo a lo especificado en la ficha técnica correspondiente, la cifra del salario base asociado a asegurados trabajadores al mes de junio es preliminar. La cifra definitiva se publica a partir del día 12 hábil del mes inmediato posterior al mes que se reporta.</t>
    </r>
  </si>
  <si>
    <r>
      <t xml:space="preserve">Tasa de variación bianual en el número de asegurados trabajadores.
</t>
    </r>
    <r>
      <rPr>
        <sz val="10"/>
        <rFont val="Soberana Sans"/>
        <family val="2"/>
      </rPr>
      <t xml:space="preserve"> Causa : Con información al mes de junio de 2018, la tasa de variación bianual en el número de asegurados trabajadores, respecto al periodo enero-junio de 2016, fue de 8.87%.   Las dos estrategias del IMSS, IMSS Digital y una mejor fiscalización, tienen un efecto positivo en la formalización del empleo. Efecto: Más empleo formal. Por quinto año consecutivo, la afiliación al IMSS presenta un comportamiento muy favorable, con una creación de empleo por encima del crecimiento económico.   En México, tradicionalmente la relación entre la creación de empleos en el IMSS y el crecimiento económico medido con base en el Producto Interno Bruto (PIB), era uno a uno (elasticidad empleo-producto). Sin embargo, a partir del año 2013 esta brecha empleo-producto se amplió significativamente, con una afiliación al IMSS creciendo al doble que la economía, lo que es evidencia de un proceso de formalización del empleo sin precedente. Otros Motivos:De acuerdo a lo especificado en la ficha técnica correspondiente,la cifra de asegurados trabajadores al mes de junio es preliminar. La cifra definitiva se publica a partir del día 12 hábil del mes inmediato posterior al mes que se reporta.</t>
    </r>
  </si>
  <si>
    <r>
      <t xml:space="preserve">Porcentaje de transacciones de asignación o localización de NSS realizadas en línea (IMSS Digital).
</t>
    </r>
    <r>
      <rPr>
        <sz val="10"/>
        <rFont val="Soberana Sans"/>
        <family val="2"/>
      </rPr>
      <t xml:space="preserve"> Causa : Con información al mes de junio de 2018, la proporción de transacciones de asignación o localización de NSS realizadas en línea (IMSS Digital) fue de 89.63%.   Entre las acciones del IMSS para mejorar la calidad y calidez de los servicios y al mismo tiempo sanear financieramente a la institución, está la simplificación y digitalización de trámites que ha sido implementada de manera exitosa desde el inicio de esta administración.  Efecto: Disminuir los tiempos y costos que los patrones y ciudadanos invierten en realizar trámites relacionados con su afiliación. Otros Motivos:Se reporta información del periodo enero-junio.</t>
    </r>
  </si>
  <si>
    <r>
      <t xml:space="preserve">Porcentaje de efectividad en actos de fiscalización.
</t>
    </r>
    <r>
      <rPr>
        <sz val="10"/>
        <rFont val="Soberana Sans"/>
        <family val="2"/>
      </rPr>
      <t xml:space="preserve"> Causa : Con información al mes de junio de 2018, el porcentaje de efectividad en actos de fiscalización fue de 101.13%.   La implementación y consolidación de un modelo integral de atención institucional, a través de la creación de la unidad de grandes patrones  y la ejecución de un nuevo modelo de fiscalización, constituye la estrategia del IMSS dirigida a fortalecer el cumplimiento voluntario de las obligaciones de seguridad social.  Efecto: Con el objetivo de mejorar la programación y planeación de los actos de auditoría y cobro, se desarrollaron nuevos modelos de riesgos que permiten identificar los riesgos de evasión atendiendo a los tipos y tamaño de patrones, su ubicación geográfica, sector, industria, tipo de empleados o composición salarial, entre otros elementos. Otros Motivos:Se reporta información del periodo enero-junio.</t>
    </r>
  </si>
  <si>
    <t>E007</t>
  </si>
  <si>
    <t>Servicios de guardería</t>
  </si>
  <si>
    <t>6 - Protección Social</t>
  </si>
  <si>
    <t>3 - Familia e Hijos</t>
  </si>
  <si>
    <t>9 - Oportunidad en la prestación del servicio de guardería</t>
  </si>
  <si>
    <t>Contribuir a promover el acceso de las mujeres al trabajo remunerado, empleo decente y recursos productivos, en un marco de igualdad mediante el otorgamiento del servicio de guardería conforme al artículo 201 de la Ley del Seguro Social a través de la atención integral de las (los) niñas (os).</t>
  </si>
  <si>
    <r>
      <t>Porcentaje de permanencia de la población beneficiada</t>
    </r>
    <r>
      <rPr>
        <i/>
        <sz val="10"/>
        <color indexed="30"/>
        <rFont val="Soberana Sans"/>
      </rPr>
      <t xml:space="preserve">
</t>
    </r>
  </si>
  <si>
    <t>(Beneficiarios usuarios con niños (as) inscritos (as) en el período que permanecen al menos seis meses durante el período / Beneficiarios usuarios registrados durante el período) * 100</t>
  </si>
  <si>
    <r>
      <t>Tasa de participación femenina en el mercado de trabajo</t>
    </r>
    <r>
      <rPr>
        <i/>
        <sz val="10"/>
        <color indexed="30"/>
        <rFont val="Soberana Sans"/>
      </rPr>
      <t xml:space="preserve">
Indicador Seleccionado</t>
    </r>
  </si>
  <si>
    <t>T = ( PEAf / Pobft14+ ) * 100  PEAf: Población económicamente activa femenina de 14 años y más  Pobft14+: Población femenina total de 14 años y más</t>
  </si>
  <si>
    <t>Otorgar el servicio de guardería a un mayor número de trabajadores que se encuentren en el supuesto del artículo 201 de la Ley del Seguro Social y que dispongan de un lugar para su hijo (a) durante las horas de su jornada laboral de acuerdo con el artículo 205 de la Ley del Seguro Social</t>
  </si>
  <si>
    <r>
      <t>Tasa de variación de los lugares para el otorgamiento del servicio de guardería</t>
    </r>
    <r>
      <rPr>
        <i/>
        <sz val="10"/>
        <color indexed="30"/>
        <rFont val="Soberana Sans"/>
      </rPr>
      <t xml:space="preserve">
</t>
    </r>
  </si>
  <si>
    <t>((Número de lugares instalados en las guarderías al final del periodo/ Número de lugares instalados en las guarderías al inicio del periodo)-1)*100</t>
  </si>
  <si>
    <t>Estratégico-Eficiencia-Anual</t>
  </si>
  <si>
    <r>
      <t>Horas promedio de estadía de los (as) niños (as) en guarderías</t>
    </r>
    <r>
      <rPr>
        <i/>
        <sz val="10"/>
        <color indexed="30"/>
        <rFont val="Soberana Sans"/>
      </rPr>
      <t xml:space="preserve">
</t>
    </r>
  </si>
  <si>
    <t xml:space="preserve">Sumatoria de las horas de estadía de los (as) niños (as) en guarderías en el periodo / Número de asistencias de los (as) niños (as) en las guarderías en el periodo </t>
  </si>
  <si>
    <t>Hora de servicio</t>
  </si>
  <si>
    <t>A Atender a los niños (as) de los trabajadores que se encuentren en el supuesto del artículo 201 de la Ley del Seguro Social durante su jornada laboral</t>
  </si>
  <si>
    <r>
      <t>Porcentaje de asistencia promedio diario</t>
    </r>
    <r>
      <rPr>
        <i/>
        <sz val="10"/>
        <color indexed="30"/>
        <rFont val="Soberana Sans"/>
      </rPr>
      <t xml:space="preserve">
</t>
    </r>
  </si>
  <si>
    <t>(Sumatoria del promedio diario de asistencia de los (as) niños (as) en las guarderías en el periodo / Número de niños (as) inscritos (as) en las guarderías en el periodo) * 100</t>
  </si>
  <si>
    <t>Gestión-Eficacia-Mensual</t>
  </si>
  <si>
    <t>B Contar con los lugares en el sistema de guarderías que permitan atender a los hijos (as) de los trabajadores que se encuentren en el supuesto del artículo 201 de la Ley del Seguro Social</t>
  </si>
  <si>
    <r>
      <t>Cobertura de la demanda del servicio de guarderías</t>
    </r>
    <r>
      <rPr>
        <i/>
        <sz val="10"/>
        <color indexed="30"/>
        <rFont val="Soberana Sans"/>
      </rPr>
      <t xml:space="preserve">
</t>
    </r>
  </si>
  <si>
    <t>(Número de lugares instalados en las guarderías en el periodo/Demanda potencial en el periodo) * 100</t>
  </si>
  <si>
    <t>A 1 Evaluar el grado de cumplimiento respecto de la normatividad aplicable vigente con la que se debe otorgar el servicio en las guarderías</t>
  </si>
  <si>
    <r>
      <t>Porcentaje de cumplimiento en la calidad del servicio</t>
    </r>
    <r>
      <rPr>
        <i/>
        <sz val="10"/>
        <color indexed="30"/>
        <rFont val="Soberana Sans"/>
      </rPr>
      <t xml:space="preserve">
</t>
    </r>
  </si>
  <si>
    <t>(Sumatoria de los puntajes obtenidos en la Supervisión Integral del servicio de guardería/ Sumatoria del puntaje máximo esperado en la  Supervisión Integral del Servicio de guardería)*100</t>
  </si>
  <si>
    <t>A 2 Evaluar la percepción de la calidad que tienen los usuarios del servicio de guardería</t>
  </si>
  <si>
    <r>
      <t>Porcentaje de satisfacción de los usuarios del servicio de guardería</t>
    </r>
    <r>
      <rPr>
        <i/>
        <sz val="10"/>
        <color indexed="30"/>
        <rFont val="Soberana Sans"/>
      </rPr>
      <t xml:space="preserve">
</t>
    </r>
  </si>
  <si>
    <t>(Sumatoria de los puntajes obtenidos en las encuestas de satisfacción del servicio de guardería aplicadas / Sumatoria de puntaje máximo esperado de la encuesta de satisfacción del servicio de guardería) * 100</t>
  </si>
  <si>
    <t>Gestión-Calidad-Cuatrimestral</t>
  </si>
  <si>
    <t>B 3 Aprovechar los lugares con los que cuenta actualmente el sistema de guarderías en beneficio de los trabajadores que se encuentran en el supuesto del artículo 201 de la Ley del Seguro Social</t>
  </si>
  <si>
    <r>
      <t>Porcentaje de ocupación en guarderías</t>
    </r>
    <r>
      <rPr>
        <i/>
        <sz val="10"/>
        <color indexed="30"/>
        <rFont val="Soberana Sans"/>
      </rPr>
      <t xml:space="preserve">
</t>
    </r>
  </si>
  <si>
    <t>(Número de niños (as) inscritos (as)  en las guarderías en el periodo / Número de lugares  instalados en las guarderías en el periodo) X 100</t>
  </si>
  <si>
    <r>
      <t xml:space="preserve">Porcentaje de permanencia de la población beneficiada
</t>
    </r>
    <r>
      <rPr>
        <sz val="10"/>
        <rFont val="Soberana Sans"/>
        <family val="2"/>
      </rPr>
      <t>Sin Información,Sin Justificación</t>
    </r>
  </si>
  <si>
    <r>
      <t xml:space="preserve">Tasa de participación femenina en el mercado de trabajo
</t>
    </r>
    <r>
      <rPr>
        <sz val="10"/>
        <rFont val="Soberana Sans"/>
        <family val="2"/>
      </rPr>
      <t>Sin Información,Sin Justificación</t>
    </r>
  </si>
  <si>
    <r>
      <t xml:space="preserve">Tasa de variación de los lugares para el otorgamiento del servicio de guardería
</t>
    </r>
    <r>
      <rPr>
        <sz val="10"/>
        <rFont val="Soberana Sans"/>
        <family val="2"/>
      </rPr>
      <t>Sin Información,Sin Justificación</t>
    </r>
  </si>
  <si>
    <r>
      <t xml:space="preserve">Horas promedio de estadía de los (as) niños (as) en guarderías
</t>
    </r>
    <r>
      <rPr>
        <sz val="10"/>
        <rFont val="Soberana Sans"/>
        <family val="2"/>
      </rPr>
      <t>Sin Información,Sin Justificación</t>
    </r>
  </si>
  <si>
    <r>
      <t xml:space="preserve">Porcentaje de asistencia promedio diario
</t>
    </r>
    <r>
      <rPr>
        <sz val="10"/>
        <rFont val="Soberana Sans"/>
        <family val="2"/>
      </rPr>
      <t xml:space="preserve"> Causa : El indicador de asistencia promedio diario quedó por arriba de la meta en 3.68 puntos porcentuales, lo que representó un incremento de 4.8%. Lo anterior debido  a que la variable de inscripción quedó por debajo de la meta esperada en 3.7%, derivado de la apertura de nuevas guarderías cuyo promedio de ocupación alcanzó 27.1% , por su parte la asistencia promedio quedó 0.8% por arriba de la meta esperada y 1.4% superior a la cifra reportada en el periodo anterior.  Ambos efectos hicieron que el resultado del indicador fuera mayor a la meta esperada. Efecto: Los menores inscritos asisten con mayor regularidad a la guardería y se benefician de los programas educativos y alimenticios favoreciendo su desarrollo integral. Otros Motivos:Cifras preliminares al mes de septiembre. Cifras finales reportadas en agosto Numerador= 148.982 denominador= 183,635 resultado 81.13 sin cambio en la tendencia del indicador.</t>
    </r>
  </si>
  <si>
    <r>
      <t xml:space="preserve">Cobertura de la demanda del servicio de guarderías
</t>
    </r>
    <r>
      <rPr>
        <sz val="10"/>
        <rFont val="Soberana Sans"/>
        <family val="2"/>
      </rPr>
      <t xml:space="preserve"> Causa : El indicador de cobertura de la demanda quedó  por arriba de la meta en 0.67 puntos porcentuales, lo que representa un 2.9% por arriba de la meta programada. Lo anterior derivado de la  apertura de 7 guarderías con un total  aproximado de 1,414  nuevos lugares.  Efecto: Al cumplir con la cobertura programada de acuerdo a las cifras reportadas en el mes, se mantiene el nivel de calidad en la atención y el servicio esperado por los beneficiarios. Otros Motivos:Se reporta cifras preliminares al mes de septiembre. Las cifras finales para el mes agosto son: Numerador=241,520, denominador=1,018,391 resultado 23.72 sin cambio en el resultado del indicador.</t>
    </r>
  </si>
  <si>
    <r>
      <t xml:space="preserve">Porcentaje de cumplimiento en la calidad del servicio
</t>
    </r>
    <r>
      <rPr>
        <sz val="10"/>
        <rFont val="Soberana Sans"/>
        <family val="2"/>
      </rPr>
      <t xml:space="preserve"> Causa : El cumplimiento de la calidad en el servicio quedó por arriba de la meta en 2.68 puntos porcentuales, lo que representa un 2.9% por arriba de la meta programada. por lo que los beneficiarios se encuentran satisfechos con el servicio Efecto: El cumplimiento de los estándares de calidad en la prestación del servicio de guardería, contribuye en una adecuada atención de las niñas y niños. Otros Motivos:Cifras preliminares al mes de septiembre</t>
    </r>
  </si>
  <si>
    <r>
      <t xml:space="preserve">Porcentaje de satisfacción de los usuarios del servicio de guardería
</t>
    </r>
    <r>
      <rPr>
        <sz val="10"/>
        <rFont val="Soberana Sans"/>
        <family val="2"/>
      </rPr>
      <t xml:space="preserve"> Causa : La meta del cuatrimestre fue superada en 3.30 puntos porcentuales, lo cual indica que los beneficiarios se encuentran complacidos con el servicio que sus hijas e hijos reciben en las guarderías Efecto: El que los beneficiarios encuestados se encuentren satisfechos con el servicio significa que se encuentran contentos con el desarrollo de sus hijas e hijos a través de los programas de la guardería a la que asisten. Otros Motivos:</t>
    </r>
  </si>
  <si>
    <r>
      <t xml:space="preserve">Porcentaje de ocupación en guarderías
</t>
    </r>
    <r>
      <rPr>
        <sz val="10"/>
        <rFont val="Soberana Sans"/>
        <family val="2"/>
      </rPr>
      <t xml:space="preserve"> Causa : El indicador del porcentaje de ocupación  quedó por debajo de la meta en 3.93 puntos porcentuales lo que representa un -4.9% por debajo de la meta programada. Lo anterior debido a que la  variable de inscripción con respecto a la meta programada fue menor en 3.8% , debido a la apertura de las nuevas unidades donde la ocupación se reportó 28.5% en promedio lo que impactó el resultado del indicador.   Efecto: Se permite atender a un mayor de usuarios al mismo tiempo, no obstante la inscripción de las nuevas guarderías presentan niveles bajos de ocupación. Otros Motivos:Cifras preliminares al mes de agosto. Cifras finales reportadas al mes de agosto Numerador=183,635 denominador 241,520 resultado 76.03 sin cambio en la tendencia del indicador.</t>
    </r>
  </si>
  <si>
    <t>E011</t>
  </si>
  <si>
    <t>Atención a la Salud</t>
  </si>
  <si>
    <t>Contribuir a asegurar el acceso efectivo a servicios de salud con calidad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</si>
  <si>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</si>
  <si>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r>
      <t>Tasa de hospitalización por diabetes no controlada con complicaciones de corto plazo (Indicador definido por la OCDE)</t>
    </r>
    <r>
      <rPr>
        <i/>
        <sz val="10"/>
        <color indexed="30"/>
        <rFont val="Soberana Sans"/>
      </rPr>
      <t xml:space="preserve">
Indicador Seleccionado</t>
    </r>
  </si>
  <si>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</si>
  <si>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La población usuaria del IMSS presenta menor morbilidad</t>
  </si>
  <si>
    <r>
      <t>Tasa de incidencia de enfermedades crónico degenerativas seleccionadas en derechohabientes del IMSS</t>
    </r>
    <r>
      <rPr>
        <i/>
        <sz val="10"/>
        <color indexed="30"/>
        <rFont val="Soberana Sans"/>
      </rPr>
      <t xml:space="preserve">
</t>
    </r>
  </si>
  <si>
    <t>(Total de casos nuevos de enfermedades crónico degenerativas) / (Población adscrita a médico familiar) X 100, 000</t>
  </si>
  <si>
    <t>Tasa de incidencia</t>
  </si>
  <si>
    <t>A Complicaciones obstétricas y perinatales disminuidas</t>
  </si>
  <si>
    <r>
      <t>Proporción de prematurez</t>
    </r>
    <r>
      <rPr>
        <i/>
        <sz val="10"/>
        <color indexed="30"/>
        <rFont val="Soberana Sans"/>
      </rPr>
      <t xml:space="preserve">
</t>
    </r>
  </si>
  <si>
    <t>Total de recién nacidos vivos menores de 37 semanas de gestación, en un periodo y área geográfica determinados/Total de recién nacidos vivos del mismo periodo y área geográfica * 100</t>
  </si>
  <si>
    <r>
      <t>Porcentaje de preeclampsia - eclampsia</t>
    </r>
    <r>
      <rPr>
        <i/>
        <sz val="10"/>
        <color indexed="30"/>
        <rFont val="Soberana Sans"/>
      </rPr>
      <t xml:space="preserve">
</t>
    </r>
  </si>
  <si>
    <t>(Egresos hospitalarios con diagnóstico de preeclampsia-eclampsia (CIE 10, códigos O13, O14, O15, O16))/(Total de egresos hospitalarios (en el post parto y post aborto) menos los abortos (CIE10 códigos O00 a O08))*100</t>
  </si>
  <si>
    <t>Estratégico-Eficiencia-Trimestral</t>
  </si>
  <si>
    <t>B Infecciones nosocomiales reducidas</t>
  </si>
  <si>
    <r>
      <t xml:space="preserve">Tasa de Infecciones Nosocomiales por 1,000 días estancia en Unidades Médicas Hospitalarias de 20 o más camas censables.    </t>
    </r>
    <r>
      <rPr>
        <i/>
        <sz val="10"/>
        <color indexed="30"/>
        <rFont val="Soberana Sans"/>
      </rPr>
      <t xml:space="preserve">
</t>
    </r>
  </si>
  <si>
    <t xml:space="preserve">(Número de infecciones nosocomiales en Unidades de Segundo nivel de 20 o más camas censables y en Unidades Médicas de Alta Especialidad / Total de días estancia en nidades de Segundo nivel de 20 o más camas censables y en Unidades Médicas de Alta Especialidadl) x 1,000    </t>
  </si>
  <si>
    <t>C Control adecuado de pacientes con enfermedades crónico degenerativas</t>
  </si>
  <si>
    <r>
      <t xml:space="preserve">Porcentaje de pacientes con Diabetes mellitus tipo 2 en control adecuado de glucemia en  ayuno (70 -130 mg/dl)         </t>
    </r>
    <r>
      <rPr>
        <i/>
        <sz val="10"/>
        <color indexed="30"/>
        <rFont val="Soberana Sans"/>
      </rPr>
      <t xml:space="preserve">
</t>
    </r>
  </si>
  <si>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</si>
  <si>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</si>
  <si>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r>
      <t xml:space="preserve">Porcentaje de pacientes en control adecuado de Hipertensión Arterial Sistémica en Medicina Familiar                  </t>
    </r>
    <r>
      <rPr>
        <i/>
        <sz val="10"/>
        <color indexed="30"/>
        <rFont val="Soberana Sans"/>
      </rPr>
      <t xml:space="preserve">
</t>
    </r>
  </si>
  <si>
    <t xml:space="preserve">Número de pacientes subsecuentes con Diagnóstico de Hipertensión Arterial Sistémica (CIE I10 - I15) con cifras de tensión arterial sistólica menor de 130 mmHg y diastólica de menor 90 mmHg / Total de pacientes subsecuentes con Diagnóstico de Hipertensión Arterial Sistémica) X 100         </t>
  </si>
  <si>
    <t>D Atención médica en servicios de urgencia otorgada</t>
  </si>
  <si>
    <r>
      <t xml:space="preserve">    Porcentaje de pacientes con estancia prolongada (mayor de12 horas) en el área de observación del servicio de urgencias en unidades de segundo nivel    </t>
    </r>
    <r>
      <rPr>
        <i/>
        <sz val="10"/>
        <color indexed="30"/>
        <rFont val="Soberana Sans"/>
      </rPr>
      <t xml:space="preserve">
</t>
    </r>
  </si>
  <si>
    <t xml:space="preserve">(Número de pacientes egresados del área de observación de los servicios de urgencias de segundo nivel, con estancia de más de 12 horas / Total de pacientes egresados de los servicios de urgencias, en unidades de segundo nivel) X 100    </t>
  </si>
  <si>
    <t>Asegurado</t>
  </si>
  <si>
    <t>Gestión-Calidad-Semestral</t>
  </si>
  <si>
    <t>E Atención médica otorgada con oportunidad en UMAE</t>
  </si>
  <si>
    <r>
      <t>Porcentaje de pacientes a quienes se les realiza una cirugía electiva no concertada, a los 20 días hábiles o menos a partir de su solicitud, en Unidades Médicas de Alta Especialidad.</t>
    </r>
    <r>
      <rPr>
        <i/>
        <sz val="10"/>
        <color indexed="30"/>
        <rFont val="Soberana Sans"/>
      </rPr>
      <t xml:space="preserve">
</t>
    </r>
  </si>
  <si>
    <t xml:space="preserve">(Total de pacientes a quienes se les realiza una intervención quirúrgica electiva no concertada, dentro de los 20 días hábiles o menos a partir de la solicitud del cirujano tratante de la UMAE) /( Total de pacientes con solicitud otorgada por el médico tratante para cirugía electiva no concertada en UMAE) X 100    </t>
  </si>
  <si>
    <r>
      <t>Porcentaje de pacientes a quienes se les otorga una consulta de especialidad, a los 20 días hábiles o menos a partir de su solicitud, en Unidades Médicas de Alta Especialidad.</t>
    </r>
    <r>
      <rPr>
        <i/>
        <sz val="10"/>
        <color indexed="30"/>
        <rFont val="Soberana Sans"/>
      </rPr>
      <t xml:space="preserve">
</t>
    </r>
  </si>
  <si>
    <t xml:space="preserve">(Número de pacientes de primera vez con cita programada en especialidades de una UMAE en un plazo de 20 días hábiles o menos a partir de la presentación de la solicitud en la UMAE) / (Total de pacientes a quienes se les otorga una consulta de especialidades de primera vez (por el segundo y eventualmente primer nivel de atención) a la UMAE )X 100     </t>
  </si>
  <si>
    <t>Gestión-Calidad-Trimestral</t>
  </si>
  <si>
    <t>A 1 Atención adecuada de las pacientes embarazadas</t>
  </si>
  <si>
    <r>
      <t xml:space="preserve">Oportunidad de inicio de la vigilancia prenatal    </t>
    </r>
    <r>
      <rPr>
        <i/>
        <sz val="10"/>
        <color indexed="30"/>
        <rFont val="Soberana Sans"/>
      </rPr>
      <t xml:space="preserve">
</t>
    </r>
  </si>
  <si>
    <t xml:space="preserve">(Consultas prenatales de primera vez, en el primer trimestre de la gestación/ Total de consultas prenatales de primera vez ) X 100    </t>
  </si>
  <si>
    <t>Consulta</t>
  </si>
  <si>
    <r>
      <t xml:space="preserve">Promedio de atenciones prenatales por embarazada    </t>
    </r>
    <r>
      <rPr>
        <i/>
        <sz val="10"/>
        <color indexed="30"/>
        <rFont val="Soberana Sans"/>
      </rPr>
      <t xml:space="preserve">
</t>
    </r>
  </si>
  <si>
    <t xml:space="preserve">(Total de consultas para la vigilancia prenatal/Total de consultas de primera vez para la vigilancia prenatal)     </t>
  </si>
  <si>
    <t>B 2 Limpieza de las Unidades Médicas.</t>
  </si>
  <si>
    <r>
      <t>Eficacia del Proceso del Control de Ambientes Físicos</t>
    </r>
    <r>
      <rPr>
        <i/>
        <sz val="10"/>
        <color indexed="30"/>
        <rFont val="Soberana Sans"/>
      </rPr>
      <t xml:space="preserve">
</t>
    </r>
  </si>
  <si>
    <t>(Promedio nacional mensual del registro resultante de la suma de las calificaciones obtenidas del Nivel Integral de Limpieza (NIL) por las Delegaciones y UMAE en el mes del informe / Número de entidades del sistema que enviaron el reporte)</t>
  </si>
  <si>
    <t>C 3 Atención a pacientes con enfermedades crónicas en unidades de medicina familiar</t>
  </si>
  <si>
    <r>
      <t xml:space="preserve">Pacientes subsecuentes con diagnóstico de Diabetes Mellitus tipo 2         </t>
    </r>
    <r>
      <rPr>
        <i/>
        <sz val="10"/>
        <color indexed="30"/>
        <rFont val="Soberana Sans"/>
      </rPr>
      <t xml:space="preserve">
</t>
    </r>
  </si>
  <si>
    <t xml:space="preserve">Número total de pacientes subsecuentes con diagnóstico de Diabetes Mellitus tipo 2 que acuden a la consulta de medicina familiar         </t>
  </si>
  <si>
    <r>
      <t xml:space="preserve">Pacientes con diagnóstico de Hipertensión Arterial Sistémica que acuden de manera subsecuente a la consulta de Medicina Familiar                 </t>
    </r>
    <r>
      <rPr>
        <i/>
        <sz val="10"/>
        <color indexed="30"/>
        <rFont val="Soberana Sans"/>
      </rPr>
      <t xml:space="preserve">
</t>
    </r>
  </si>
  <si>
    <t xml:space="preserve">Número total de pacientes subsecuentes con Diagnóstico de Hipertensión Arterial Sistémica que acuden a la consulta de medicina familiar          </t>
  </si>
  <si>
    <t>C 4 Suministro de medicamentos</t>
  </si>
  <si>
    <r>
      <t>Porcentaje de surtimiento de recetas médicas</t>
    </r>
    <r>
      <rPr>
        <i/>
        <sz val="10"/>
        <color indexed="30"/>
        <rFont val="Soberana Sans"/>
      </rPr>
      <t xml:space="preserve">
</t>
    </r>
  </si>
  <si>
    <t>(Total de recetas de medicamentos atendidas/Total de recetas individuales de medicamentos presentadas)*100</t>
  </si>
  <si>
    <t>Recetas</t>
  </si>
  <si>
    <t>D 5 Otorgamiento de consulta en urgencias</t>
  </si>
  <si>
    <r>
      <t xml:space="preserve">Índice consultas de urgencias por 1000 derechohabientes en unidades de segundo nivel    </t>
    </r>
    <r>
      <rPr>
        <i/>
        <sz val="10"/>
        <color indexed="30"/>
        <rFont val="Soberana Sans"/>
      </rPr>
      <t xml:space="preserve">
</t>
    </r>
  </si>
  <si>
    <t xml:space="preserve">(Total de consultas de urgencias otorgadas en unidades de segundo nivel / total de derechohabientes adscritos a médico familiar) X 1000    </t>
  </si>
  <si>
    <t>E 6 Programación de atención médica y quirúrgica en Unidades Médicas de Alta Especialidad.</t>
  </si>
  <si>
    <r>
      <t xml:space="preserve">Total de cirugías electivas programadas en Unidades Médicas de Alta Especialidad    </t>
    </r>
    <r>
      <rPr>
        <i/>
        <sz val="10"/>
        <color indexed="30"/>
        <rFont val="Soberana Sans"/>
      </rPr>
      <t xml:space="preserve">
</t>
    </r>
  </si>
  <si>
    <t xml:space="preserve">Total de cirugías  electivas programadas realizadas en Unidades Médicas de Alta Especialidad     </t>
  </si>
  <si>
    <t>Cirugías</t>
  </si>
  <si>
    <r>
      <t xml:space="preserve">Total de consultas de  primera vez otorgadas en Unidades Médicas de Alta Especialidad    </t>
    </r>
    <r>
      <rPr>
        <i/>
        <sz val="10"/>
        <color indexed="30"/>
        <rFont val="Soberana Sans"/>
      </rPr>
      <t xml:space="preserve">
</t>
    </r>
  </si>
  <si>
    <t xml:space="preserve">Total de consultas de primera vez otorgadas en Unidades Médicas de Alta Especialidad    </t>
  </si>
  <si>
    <r>
      <t xml:space="preserve">Tasa de hospitalización por diabetes no controlada con complicaciones de corto plazo (Indicador definido por la OCDE)
</t>
    </r>
    <r>
      <rPr>
        <sz val="10"/>
        <rFont val="Soberana Sans"/>
        <family val="2"/>
      </rPr>
      <t>Sin Información,Sin Justificación</t>
    </r>
  </si>
  <si>
    <r>
      <t xml:space="preserve">Tasa de incidencia de enfermedades crónico degenerativas seleccionadas en derechohabientes del IMSS
</t>
    </r>
    <r>
      <rPr>
        <sz val="10"/>
        <rFont val="Soberana Sans"/>
        <family val="2"/>
      </rPr>
      <t>Sin Información,Sin Justificación</t>
    </r>
  </si>
  <si>
    <r>
      <t xml:space="preserve">Proporción de prematurez
</t>
    </r>
    <r>
      <rPr>
        <sz val="10"/>
        <rFont val="Soberana Sans"/>
        <family val="2"/>
      </rPr>
      <t xml:space="preserve"> Causa : La prematurez se eleva debido a: a)Las mujeres actualmente deciden postergar la edad del embarazo después de los 34 años, así como la presencia cada vez mas frecuente de mujeres con embarazos y enfermedades preexistentes como diabetes, cardiopatías, hipertensión arterial, autoinmunes. b) Las complicaciones inherentes al embarazo como: la infección genitourinaria que provoca ruptura prematura de membranas y condiciona partos prematuros; la preclampsia-eclampsia aumenta el riesgo de parto prematuro y prematurez; el antecedente de cesárea en la embarazada incrementa el riesgo de inserción anómala de la placenta que condiciona hemorragia y por consecuencia el nacimiento prematuro.  c) El Incremento de mujeres que se embarazan, con la aplicación de tecnologías de reproducción, que favorecen los embarazos múltiples generando partos antes de tiempo.  El uso generalizado actual de fármacos (esquema de inductores de maduración pulmonar al feto y factor surfactante al recién nacido) mejora la sobrevida de prematuros extremos (menos de 1,500 gramos al nacer), lo que incrementa el número de recién nacidos prematuros. Efecto: Las causas señaladas son factores de riesgo para el nacimiento de niños prematuros. Otros Motivos:La OMS refiere que en los países de ingresos bajos, una media del 12% de los niños nace antes de tiempo, frente al 9% en los países de ingresos más altos. Dentro de un mismo país las familias más pobres corren un riesgo mayor prematuro. También señala que hay un incremento de ésta por las causas descritas. En 2018 se mantienen las acciones para mejorar la meta. Datos del periodo enero-julio 2018,ultima información disponible en el IMSS/DIS</t>
    </r>
  </si>
  <si>
    <r>
      <t xml:space="preserve">Porcentaje de preeclampsia - eclampsia
</t>
    </r>
    <r>
      <rPr>
        <sz val="10"/>
        <rFont val="Soberana Sans"/>
        <family val="2"/>
      </rPr>
      <t xml:space="preserve"> Causa : La mejora en la calidad de atención, diagnóstico y tratamiento oportunos; así como en el registro en las fuentes primarias que alimentan el sistema de información, han permitido que la proporción de preeclampsia - eclampsia, se encuentre dentro del desempeño esperado; de acuerdo con la evidencia científica que señala que la preeclampsia - eclampsia afecta entre 5 y 12% de la población en países emergentes. Es importante considerar que las mujeres con enfermedades preexistentes como diabetes, hipertensión y obesidad tienen mayor posibilidad de presentar preeclampsia-eclampsia durante el embarazo, entre el 30 y 50%, por lo que se mantienen las acciones de mejora en la consulta preconcepcional para llegar a la meta en 2018.                      Efecto: Las acciones que continúan vigentes permiten diagnosticar oportunamente la posibilidad de presentar preeclampsia-eclampsia en las mujeres durante la etapa grávido puerperal y/o intervenir para evitar mayor morbilidad o mortalidad por esta causa. Otros Motivos:Datos del período enero-julio 2018, última información disponible en el IMSS/DIS</t>
    </r>
  </si>
  <si>
    <r>
      <t xml:space="preserve">Tasa de Infecciones Nosocomiales por 1,000 días estancia en Unidades Médicas Hospitalarias de 20 o más camas censables.    
</t>
    </r>
    <r>
      <rPr>
        <sz val="10"/>
        <rFont val="Soberana Sans"/>
        <family val="2"/>
      </rPr>
      <t xml:space="preserve"> Causa : Se continua con la aplicación del Modelo de Gestión de Riesgos en la identificación de riesgos en los procesos críticos focalizado al Programa de Vigilancia Epidemiológica de las Infecciones Asociada a la Atención de la Salud su prevención y control, se está impulsando a las unidades médicas en la implementación del Modelo de Seguridad del Paciente del Consejo de Salubridad General (CSG), para la aplicación del Programa de Prevención y Control de Infecciones, coadyuvando en la mejora de los procesos, mediante una evaluación externa por el CSG quien otorga un distintivo por la implementación del proceso. Efecto: Mejora de los procesos críticos relacionados a las Infecciones Asociadas a la Atención de la Salud. Otros Motivos:</t>
    </r>
  </si>
  <si>
    <r>
      <t xml:space="preserve">Porcentaje de pacientes con Diabetes mellitus tipo 2 en control adecuado de glucemia en  ayuno (70 -130 mg/dl)         
</t>
    </r>
    <r>
      <rPr>
        <sz val="10"/>
        <rFont val="Soberana Sans"/>
        <family val="2"/>
      </rPr>
      <t xml:space="preserve"> Causa : El indicador obtenido es inferior a lo esperado, como causa de la implementación de estrategias  implementadas en las unidades de primer nivel, con enfoque prioritario a pacientes con diagnóstico de Diabetes Mellitus tipo 2 en los que participa el médico y el equipo multidisciplinario, al proporcionar atención de forma  integral, como es el Modelo Preventivo de Enfermedades Crónicas. Efecto: Consolidar  las acciones implementadas en las unidades de primer nivel, a través de programas específicos para pacientes con diagnóstico de Diabetes Mellitus tipo 2 en los que participa el médico y el equipo multidisciplinario. Otros Motivos:Indicador estimado al mes de septiembre con cifras definitivas al mes de julio.</t>
    </r>
  </si>
  <si>
    <r>
      <t xml:space="preserve">Porcentaje de pacientes en control adecuado de Hipertensión Arterial Sistémica en Medicina Familiar                  
</t>
    </r>
    <r>
      <rPr>
        <sz val="10"/>
        <rFont val="Soberana Sans"/>
        <family val="2"/>
      </rPr>
      <t xml:space="preserve"> Causa : El indicador se observa por debajo de la meta esperada, debido a que las acciones implementadas en las unidades de primer nivel, a través de programas específicos (receta resurtible) para la atención de pacientes subsecuentes con diagnóstico de Hipertensión Arterial, ha permitido que estos pacientes disminuyan su asistencia a la consulta de forma mensual, lo que permite liberar espacios en la consulta externa de Medicina Familiar para otro tipo de pacientes. Efecto: El efecto es optimizar los recursos en las unidades de primer nivel, mediante programas definidos para pacientes con diagnóstico de Hipertensión Arterial en los que participa el médico y el equipo multidisciplinario. Otros Motivos:Indicador estimado al mes de septiembre con cifras definitivas al mes de julio.</t>
    </r>
  </si>
  <si>
    <r>
      <t xml:space="preserve">    Porcentaje de pacientes con estancia prolongada (mayor de12 horas) en el área de observación del servicio de urgencias en unidades de segundo nivel    
</t>
    </r>
    <r>
      <rPr>
        <sz val="10"/>
        <rFont val="Soberana Sans"/>
        <family val="2"/>
      </rPr>
      <t xml:space="preserve"> Causa : Incremento de casos de mayor complejidad de los servicios de urgencias. lo que condiciona mayor tiempo en la atencion de los pacientes. Con la finalidad de optimizar la utilización del servicio de urgencias, se continua con las siguientes estrategias:    -  mejora de la oportunidad de la atencion mediante la clasificación  de la gravedad de los pacientes  en Triage.                                                                                          - Envío consensuado de pacientes con urgencias sentidas (no reales) a primer nivel para su atención, con supervisión de los acuerdos de gestión entre las unidades de primero y  segundo nivel, para garantizar la atención de estos pacientes  en los servicios de atención médica continua, urgencias o consulta externa de las Unidades de Medicina Familiar de la zona correspondiente Efecto: Incremento en el número de horas de estancia en los servicios de urgencias, sin afectar la calidad de su atención. Otros Motivos:Se cuenta con información preliminar al mes de abril. El logro del indicador es preliminar.Contabilizando la informacion de 4 meses, el porcentaje de cumplimiento es del  85% </t>
    </r>
  </si>
  <si>
    <r>
      <t xml:space="preserve">Porcentaje de pacientes a quienes se les realiza una cirugía electiva no concertada, a los 20 días hábiles o menos a partir de su solicitud, en Unidades Médicas de Alta Especialidad.
</t>
    </r>
    <r>
      <rPr>
        <sz val="10"/>
        <rFont val="Soberana Sans"/>
        <family val="2"/>
      </rPr>
      <t xml:space="preserve"> Causa : El resultado indica 2.79%  puntos porcentuales por arriba de la meta programada. Causa: Se esta realizando la actualización del número de salas efectivas en el sistema de información  médico operativo (SIMO), este indicador   refleja el uso eficiente  de quirófanos, como parte de la estrategia institucional de mejora para abatir el rezago quirúrgico. Se continua con la estrategia de cirugías programadas  los fines de semana   Efecto: Atención quirúrgica oportuna para tratamiento de padecimientos de resolución quirúrgica. Otros Motivos:Se reporta una tercera parte del trimestre toda vez que no se cuenta con datos oficiales más que del mes de Julio.</t>
    </r>
  </si>
  <si>
    <r>
      <t xml:space="preserve">Porcentaje de pacientes a quienes se les otorga una consulta de especialidad, a los 20 días hábiles o menos a partir de su solicitud, en Unidades Médicas de Alta Especialidad.
</t>
    </r>
    <r>
      <rPr>
        <sz val="10"/>
        <rFont val="Soberana Sans"/>
        <family val="2"/>
      </rPr>
      <t xml:space="preserve"> Causa : El resultado se encuentra 16.8  puntos porcentuales por debajo de la meta establecida, lo cual se debe al incremento en el número de consultas de primera vez que son solicitadas a las UMAE, y que se explica por la transición epidemiológica que ocasiona una mayor complejidad de la patología crónica degenerativa. Efecto: Se rebasa la capacidad instalada en  las Unidades Médicas de Alta Especialidad, con lo cual se presenta diferimiento para la atención ambulatoria de los pacientes referidos a las Unidades Médicas de Alta Especialidad.  Otros Motivos:Se reporta una tercera parte del trimestre toda vez que no se cuenta con datos oficiales más que del mes de Julio.</t>
    </r>
  </si>
  <si>
    <r>
      <t xml:space="preserve">Oportunidad de inicio de la vigilancia prenatal    
</t>
    </r>
    <r>
      <rPr>
        <sz val="10"/>
        <rFont val="Soberana Sans"/>
        <family val="2"/>
      </rPr>
      <t xml:space="preserve"> Causa : Información estimada del periodo enero - septiembre de 2018.           La oportunidad de inicio de la vigilancia prenatal durante el primer trimestre de gestación, resultó en 54.0%.           Se considera satisfactorio, ya que se interpreta que de 5 de cada 10 embarazadas acuden al inicio de su vigilancia prenatal antes de las primeras 12 semanas y 6 días de la gestación. Efecto: La finalidad de iniciar tempranamente la atención prenatal es brindarle todas las acciones médico preventivas  para poder culminar la gestación a término, con la madre y el producto saludables. Otros Motivos:</t>
    </r>
  </si>
  <si>
    <r>
      <t xml:space="preserve">Promedio de atenciones prenatales por embarazada    
</t>
    </r>
    <r>
      <rPr>
        <sz val="10"/>
        <rFont val="Soberana Sans"/>
        <family val="2"/>
      </rPr>
      <t xml:space="preserve"> Causa : Información estimada del periodo enero - septiembre de 2018.          El promedio de atenciones prenatales por embarazada resultó 0.5, por abajo de la meta establecida para el periodo (7.0).    Se confirma el valor de la meta de 6.5 muy probablemente esto sea debido a que ya no se exige que sean obligatorias las consultas de atención prenatal, se espera que para el cierre del año se pueda alcanzar la meta establecida a través de un mejor registro. Efecto: Se propicia que la embarazada asista a la vigilancia prenatal en forma periódica, lo cual contribuye a la detección oportuna de signos y síntomas que pudieran complicar el embarazo.  Otros Motivos:</t>
    </r>
  </si>
  <si>
    <r>
      <t xml:space="preserve">Eficacia del Proceso del Control de Ambientes Físicos
</t>
    </r>
    <r>
      <rPr>
        <sz val="10"/>
        <rFont val="Soberana Sans"/>
        <family val="2"/>
      </rPr>
      <t xml:space="preserve"> Causa : Se registró un avance de 87.96 al tercer trimestre de 2018, por lo que se alcanzó un cumplimiento de 87.96% de la meta establecida para el trimestre,  debido a la vacancia de plazas de limpieza, sin embargo se da  prioridad a la limpieza de áreas de alto riesgo como terapias intensivas, quirófanos, hospitalización, urgencias, hemodiálisis y CEyE sin desatender salas de espera, circulaciones, áreas de urgencia y consultorios entre otros servicios, manteniendo un nivel adecuado de limpieza en las mismas.     Efecto: Toda vez que  las áreas administrativas delegacionales han realizado la gestión para la cobertura de plazas vacantes, estas se cubren en diversos casos con personal temporal,  y con apoyo de personal de otras unidades así como dando continuidad a la capacitación continua en aspectos de limpieza y desinfección de áreas al personal de limpieza e higiene. Otros Motivos:</t>
    </r>
  </si>
  <si>
    <r>
      <t xml:space="preserve">Pacientes subsecuentes con diagnóstico de Diabetes Mellitus tipo 2         
</t>
    </r>
    <r>
      <rPr>
        <sz val="10"/>
        <rFont val="Soberana Sans"/>
        <family val="2"/>
      </rPr>
      <t xml:space="preserve"> Causa : Se observa que el indicador está por encima de lo esperado, como causa de que los pacientes con Diabetes Mellitus subsecuentes asisten de forma más constante a la cita, para  la atención  médica, donde se proporciona tratamiento farmacológico y no farmacológico.   Efecto: Como efecto las condiciones de salud del paciente con Diabetes Mellitus se modifican para retrasar la presencia de complicaciones  Otros Motivos:Indicador estimado al mes de septiembre con cifras definitivas al mes de julio</t>
    </r>
  </si>
  <si>
    <r>
      <t xml:space="preserve">Pacientes con diagnóstico de Hipertensión Arterial Sistémica que acuden de manera subsecuente a la consulta de Medicina Familiar                 
</t>
    </r>
    <r>
      <rPr>
        <sz val="10"/>
        <rFont val="Soberana Sans"/>
        <family val="2"/>
      </rPr>
      <t xml:space="preserve"> Causa : Durante este periodo el  indicador refleja un resultado por arriba de la meta esperada, a causa del aumento de pacientes que acuden a cita de manera subsecuente con el propósito de continuar con un mejor seguimiento en su tratamiento Efecto: El efecto es favorecer a mantener un mejor control del tratamiento integral para Hipertensión Arterial Otros Motivos:Indicador estimado al mes de septiembre con cifras definitivas al mes de julio</t>
    </r>
  </si>
  <si>
    <r>
      <t xml:space="preserve">Porcentaje de surtimiento de recetas médicas
</t>
    </r>
    <r>
      <rPr>
        <sz val="10"/>
        <rFont val="Soberana Sans"/>
        <family val="2"/>
      </rPr>
      <t xml:space="preserve"> Causa : El nivel de atención de recetas de medicamentos acumulado a septiembre muestra una variación positiva de 1.8 puntos porcentuales respecto del pronóstico al 3er. trimestre. Lo anterior derivado de las estrategias implementadas para la mejora del abasto de medicamentos. La compra consolidada encabezada por el IMSS para atender sus necesidades de medicamentos, vacunas y material de curación concentra los requerimientos de bienes terapéuticos del Sector Público donde participaron 50 entidades públicas, de las cuales 5 son dependencias y/o entidades federales, 22 gobiernos estatales y 23 institutos de salud.  Esta estrategia de compra ha garantizado el abasto oportuno de bienes de consumo terapéutico en beneficio de la población usuaria. Se continua con el esquema de abasto, consumo en demanda, se seleccionaron los medicamentos que de acuerdo con el comportamiento de su demanda se determina incluirlos bajo este esquema, el cual permite tanto a la industria farmacéutica como al IMSS mantener un nivel de inventario suficiente para atender las necesidades de los medicamentos de mayor uso. De igual manera se dio continuidad al mecanismo de entrega directa en farmacias, en el cual se contratan medicamentos de alto costo y alta especialidad para que los proveedores realicen las entregas para elabastecimiento directamente en las farmacias de hospitales del IMSS. Con este esquema se mejoró el abastecimiento de los medicamentos con una distribución más eficiente y con menores costos de almacenaje y resguardo. Con el Programa Tu Receta es tu Vale convierte en vale electrónico la receta que no fue surtida cuando alguno de los medicamentos no estén disponibles en la farmacia de la Unidad Médica donde se expidió, esta puede ser canjeada en una Unidad reforzada u otra farmacia del IMSS que participe en el programa. Éste se encuentra operando en cuatro Delegaciones: CDMX Sur y Norte, Edo Mex Ote, Jalisco y Querétaro. Con lo que se han emitido 427,820 vales al cierre de sept de 2018. Efecto: La estrategia de compra consolidada incluyó 1,477 claves de medicamentos y material de curación con un importe consolidado de 58,435 mdp, de las que se adjudicaron 1,340 por un monto de 48,491 mdp, convirtiéndose en la más grande del sector público.     Para el esquema de consumo en demanda se contrataron más de 377 millones de piezas de 20 medicamentos, que representan 33.8% del total de piezas de medicamentos contratados y alrededor de 2,435 millones de pesos, que corresponde a 7.2% del importe total contratado.    Para 2018 se contrataron bajo el esquema de entrega directa en farmacia, 135 medicamentos de alto costo y alta especialidad para el abastecimiento de más de 3 millones de piezas (0.27% del total de piezas de medicamentos), que representan 11,439 millones de pesos, es decir, 33.9% del importe total de medicamentos contratados.     Otros Motivos:Al mes de septiembre de 2018, el total de vales emitidos del programa, desde su inicio, es de 427,820, de los cuales se han canjeado un total de 163,564 vales, lo que ha contribuido a mantener un nivel de atención de recetas del 99.5% en promedio, a dicho mes, en las Delegaciones en donde se encuentra operando el programa. Así mismo, se ha atendido a 57,226 derechohabientes  en los centros de canje con un índice de satisfacción del 100% y las quejas por falta de medicamentos, se han reducido en un 97.2% en promedio.</t>
    </r>
  </si>
  <si>
    <r>
      <t xml:space="preserve">Índice consultas de urgencias por 1000 derechohabientes en unidades de segundo nivel    
</t>
    </r>
    <r>
      <rPr>
        <sz val="10"/>
        <rFont val="Soberana Sans"/>
        <family val="2"/>
      </rPr>
      <t xml:space="preserve"> Causa : El registro del resultado es preliminar a julio de 2018, adicionalmente se  consensúa con los pacientes que acuden por urgencias sentidas (no reales) el envío a primer nivel para su atención. Efecto: Reducción en las atenciones de consulta de los servicios de urgencias. Otros Motivos:El Instituto está implementando una nueva plataforma para el registro de las atenciones en consulta de los servicios de urgencias, lo que ha condicionado ajustes continuos en el sistema de información. Se ajusta la estimación de la meta, de acuerdo a la tendencia del comportamiento de consultas en urgencias. Se ajusta la población a 47, 417, 750 por esta ser la población registrada en el SIAS.   </t>
    </r>
  </si>
  <si>
    <r>
      <t xml:space="preserve">Total de cirugías electivas programadas en Unidades Médicas de Alta Especialidad    
</t>
    </r>
    <r>
      <rPr>
        <sz val="10"/>
        <rFont val="Soberana Sans"/>
        <family val="2"/>
      </rPr>
      <t xml:space="preserve"> Causa : Se realizaron 27,592 cirugías programadas menos de las que se establecieron en la meta. Lo anterior se debe a que únicamente se está reportando un mes del periodo (33%) y el logro corresponde al 35.8% de la meta, si se contara con la información de todo el periodo, se observa una tendencia a superar la meta establecida. Efecto: Se puede otorgar atención quirúrgica con oportunidad, y se disminuye el diferimiento quirúrgico. Otros Motivos:Se reporta una tercera parte del trimestre toda vez que no se cuenta con datos oficiales más que del mes de Julio.</t>
    </r>
  </si>
  <si>
    <r>
      <t xml:space="preserve">Total de consultas de  primera vez otorgadas en Unidades Médicas de Alta Especialidad    
</t>
    </r>
    <r>
      <rPr>
        <sz val="10"/>
        <rFont val="Soberana Sans"/>
        <family val="2"/>
      </rPr>
      <t xml:space="preserve"> Causa : Se otorgaron 102,495 consultas de especialidad de primera vez menos de las que se establecieron en la meta. Lo anterior se debe a que únicamente se está reportando un mes del periodo (33%) y el logro corresponde al 44.08% de la meta, si se contara con la información de todo el periodo, se observa una tendencia a superar la meta establecida. Efecto: Se otorga el servicio de consulta de especialidades a un mayor número de pacientes que así lo requieren sin embargo se limitan los espacios para otorgar consulta con oportunidad, lo que ocasiona diferimiento en la consulta de especialidades. Otros Motivos:Se reporta una tercera parte del trimestre toda vez que no se cuenta con datos oficiales más que del mes de Julio.</t>
    </r>
  </si>
  <si>
    <t>E012</t>
  </si>
  <si>
    <t>Prestaciones sociales</t>
  </si>
  <si>
    <t>9 - Otros de Seguridad Social y Asistencia Social</t>
  </si>
  <si>
    <t>8 - Prestaciones sociales eficientes</t>
  </si>
  <si>
    <t>Contribuir a consolidar las acciones de protección, promoción de la salud y prevención de enfermedades mediante la mejora en el bienestar social de las personas con acceso a seguridad social y servicios de salud por afiliación al IMSS.</t>
  </si>
  <si>
    <r>
      <t>Proporción de personas con acceso a seguridad social que tienen acceso a servicios de salud por afiliación al IMSS.</t>
    </r>
    <r>
      <rPr>
        <i/>
        <sz val="10"/>
        <color indexed="30"/>
        <rFont val="Soberana Sans"/>
      </rPr>
      <t xml:space="preserve">
</t>
    </r>
  </si>
  <si>
    <t>(Personas con acceso a seguridad social y servicios de salud por afiliación al IMSS / Personas en situación de pobreza o vulnerabilidad)*100</t>
  </si>
  <si>
    <t xml:space="preserve">Porcentaje de la población </t>
  </si>
  <si>
    <t>Personas con acceso a seguridad social y servicios de salud por afiliación al IMSS mejoran su bienestar social</t>
  </si>
  <si>
    <r>
      <t>Variación porcentual de satisfacción con la vida reportada por afiliados al IMSS respecto no afiliados al IMSS</t>
    </r>
    <r>
      <rPr>
        <i/>
        <sz val="10"/>
        <color indexed="30"/>
        <rFont val="Soberana Sans"/>
      </rPr>
      <t xml:space="preserve">
</t>
    </r>
  </si>
  <si>
    <t>(Calificación de satisfacción con la vida declarada por afiliados IMSS/ Calificación de satisfacción con la vida declarada por NO afiliados IMSS)-1 *100</t>
  </si>
  <si>
    <t>Variación porcentual</t>
  </si>
  <si>
    <t>Estratégico-Calidad-Bienal</t>
  </si>
  <si>
    <r>
      <t>Índice de prestaciones sociales (IPS)</t>
    </r>
    <r>
      <rPr>
        <i/>
        <sz val="10"/>
        <color indexed="30"/>
        <rFont val="Soberana Sans"/>
      </rPr>
      <t xml:space="preserve">
</t>
    </r>
  </si>
  <si>
    <t>IPS=[(Porcentaje obtenido en el Nivel Integral de Conservación en los Centros Vacacionales)+ (Porcentaje de satisfacción de los servicios otorgados en los Velatorios IMSS-FIBESO )+ (Porcentaje de cursos y talleres impartidos respecto los planeados)]/3</t>
  </si>
  <si>
    <t>Índice</t>
  </si>
  <si>
    <t>Estratégico-Calidad-Anual</t>
  </si>
  <si>
    <t>A Cursos y talleres de capacitación y adiestramiento técnico, promoción de la salud, cultura física y deporte y desarrollo cultural otorgados</t>
  </si>
  <si>
    <r>
      <t>Variación de usuarios de cursos y talleres de capacitación y adiestramiento, promoción de la salud, cultura y deporte y desarrollo cultural realizados respecto al periodo anterior</t>
    </r>
    <r>
      <rPr>
        <i/>
        <sz val="10"/>
        <color indexed="30"/>
        <rFont val="Soberana Sans"/>
      </rPr>
      <t xml:space="preserve">
</t>
    </r>
  </si>
  <si>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</si>
  <si>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B Servicios funerarios prestados</t>
  </si>
  <si>
    <r>
      <t>Variación porcentual de servicios funerarios contratados respecto al mismo periodo del año anterior</t>
    </r>
    <r>
      <rPr>
        <i/>
        <sz val="10"/>
        <color indexed="30"/>
        <rFont val="Soberana Sans"/>
      </rPr>
      <t xml:space="preserve">
</t>
    </r>
  </si>
  <si>
    <t xml:space="preserve">[(Número de servicios contratados en el trimestre n del año t / Número de servicios contratados en el trimestre n del año t-1)-1] * 100 </t>
  </si>
  <si>
    <t>Servicio</t>
  </si>
  <si>
    <t>C Centros Vacacionales que propician actividades de esparcimiento (recreación, deporte e integración) visitados</t>
  </si>
  <si>
    <r>
      <t>Tasa de variación de los usuarios atendidos en los centros vacacionales que propician actividades de esparcimiento</t>
    </r>
    <r>
      <rPr>
        <i/>
        <sz val="10"/>
        <color indexed="30"/>
        <rFont val="Soberana Sans"/>
      </rPr>
      <t xml:space="preserve">
</t>
    </r>
  </si>
  <si>
    <t xml:space="preserve">[(Número de usuarios atendidos en el trimestre n del año t / Número de usuarios atendidos en el trimestre n del año t-1)-1] * 100 </t>
  </si>
  <si>
    <t>A 1 Programar cursos y talleres de desarrollo cultural</t>
  </si>
  <si>
    <r>
      <t>Eficacia en la Planeación y Programación de inscritos a cursos y talleres de Desarrollo Cultural</t>
    </r>
    <r>
      <rPr>
        <i/>
        <sz val="10"/>
        <color indexed="30"/>
        <rFont val="Soberana Sans"/>
      </rPr>
      <t xml:space="preserve">
</t>
    </r>
  </si>
  <si>
    <t>(No. inscritos  a cursos y talleres de Desarrollo Cultural/Programado inscritos  a cursos y talleres de Desarrollo Cultural )*100</t>
  </si>
  <si>
    <t>A 2 Programar cursos y talleres de promoción a la salud</t>
  </si>
  <si>
    <r>
      <t>Eficacia en la Planeación y Programación de inscritos a cursos y talleres de Promoción a la Salud</t>
    </r>
    <r>
      <rPr>
        <i/>
        <sz val="10"/>
        <color indexed="30"/>
        <rFont val="Soberana Sans"/>
      </rPr>
      <t xml:space="preserve">
</t>
    </r>
  </si>
  <si>
    <t>(No. inscritos  a cursos y talleres de Promoción a la Salud/Programado de inscritos a cursos y talleres de Promoción a la Salud )*100</t>
  </si>
  <si>
    <t>A 3 Programar cursos y talleres de Cultura Física y Deporte</t>
  </si>
  <si>
    <r>
      <t>Eficacia en la Planeación y Programación de inscritos a cursos y talleres de Cultura Física y Deporte</t>
    </r>
    <r>
      <rPr>
        <i/>
        <sz val="10"/>
        <color indexed="30"/>
        <rFont val="Soberana Sans"/>
      </rPr>
      <t xml:space="preserve">
</t>
    </r>
  </si>
  <si>
    <t>(No. inscritos  a cursos y talleres Cultura Fisica y Deporte/Programado inscritos a cursos y talleres de Cultura Fisica y Deporte)*100</t>
  </si>
  <si>
    <t>A 4 Programar cursos y talleres de bienestar social</t>
  </si>
  <si>
    <r>
      <t>Eficacia en la Planeación y Programación de inscritos a cursos y talleres de Bienestar Social</t>
    </r>
    <r>
      <rPr>
        <i/>
        <sz val="10"/>
        <color indexed="30"/>
        <rFont val="Soberana Sans"/>
      </rPr>
      <t xml:space="preserve">
</t>
    </r>
  </si>
  <si>
    <t>(No. inscritos a cursos y talleres de Bienestar Social/Programado inscritos a cursos y talleres de Bienestar Social )*100</t>
  </si>
  <si>
    <t>A 5 Programar cursos y talleres de capacitación y adiestramiento técnico</t>
  </si>
  <si>
    <r>
      <t>Eficacia en la Planeación y Programación de inscritos a cursos y talleres de Capacitación y Adistramiento Técnico</t>
    </r>
    <r>
      <rPr>
        <i/>
        <sz val="10"/>
        <color indexed="30"/>
        <rFont val="Soberana Sans"/>
      </rPr>
      <t xml:space="preserve">
</t>
    </r>
  </si>
  <si>
    <t>(No. inscritos  a  cursos y talleres de Capacitación y Adistramiento Técnico/Programado inscritos a  cursos y talleres de Capacitación y Adistramiento Técnico )*100</t>
  </si>
  <si>
    <t>B 6 Supervisión de Velatorios</t>
  </si>
  <si>
    <r>
      <t>Porcentaje de cumplimiento  de visitas de supervisión para velatorios del IMSS</t>
    </r>
    <r>
      <rPr>
        <i/>
        <sz val="10"/>
        <color indexed="30"/>
        <rFont val="Soberana Sans"/>
      </rPr>
      <t xml:space="preserve">
</t>
    </r>
  </si>
  <si>
    <t>(Número de visitas de supervisión realizadas/Número de visitas de supervisión programadas)*100</t>
  </si>
  <si>
    <t>Visita</t>
  </si>
  <si>
    <t>Gestión-Eficacia-Cuatrimestral</t>
  </si>
  <si>
    <t>B 7 Promoción y difusión de servicios funerarios</t>
  </si>
  <si>
    <r>
      <t>Variación de pláticas de promoción y difusión de velatorios respecto al año inmediato anterior</t>
    </r>
    <r>
      <rPr>
        <i/>
        <sz val="10"/>
        <color indexed="30"/>
        <rFont val="Soberana Sans"/>
      </rPr>
      <t xml:space="preserve">
</t>
    </r>
  </si>
  <si>
    <t>(Número de pláticas de promoción y difusión de velatorios realizadas en el periodo t /Número  pláticas de promoción y difusión de velatorios realizadas en el periodo t-1 ) -1 ]* 100</t>
  </si>
  <si>
    <t>C 8 Promoción de servicios de los Centros Vacacionales IMSS</t>
  </si>
  <si>
    <r>
      <t>Porcentaje de personas usuarias que se enteraron de los servicios a través de la promoción y difusión de Centros Vacacionales en Internet</t>
    </r>
    <r>
      <rPr>
        <i/>
        <sz val="10"/>
        <color indexed="30"/>
        <rFont val="Soberana Sans"/>
      </rPr>
      <t xml:space="preserve">
</t>
    </r>
  </si>
  <si>
    <t xml:space="preserve">(Número de personas usuarias que reportaron enterarse del CV a través de Internet en la encuesta de salida/ Número total de personas que contestaron la encuesta al visitar los CV) *100 </t>
  </si>
  <si>
    <r>
      <t>Porcentaje de usuarios que utilizan algún descuento en las tarifas, respecto del total de usuarios registrados</t>
    </r>
    <r>
      <rPr>
        <i/>
        <sz val="10"/>
        <color indexed="30"/>
        <rFont val="Soberana Sans"/>
      </rPr>
      <t xml:space="preserve">
</t>
    </r>
  </si>
  <si>
    <t>(Número de usuarios que utilizan algún descuento en las tarifas de CV  / Número total de usuarios en los CV )*100</t>
  </si>
  <si>
    <t>Usuario</t>
  </si>
  <si>
    <r>
      <t xml:space="preserve">Proporción de personas con acceso a seguridad social que tienen acceso a servicios de salud por afiliación al IMSS.
</t>
    </r>
    <r>
      <rPr>
        <sz val="10"/>
        <rFont val="Soberana Sans"/>
        <family val="2"/>
      </rPr>
      <t>Sin Información,Sin Justificación</t>
    </r>
  </si>
  <si>
    <r>
      <t xml:space="preserve">Variación porcentual de satisfacción con la vida reportada por afiliados al IMSS respecto no afiliados al IMSS
</t>
    </r>
    <r>
      <rPr>
        <sz val="10"/>
        <rFont val="Soberana Sans"/>
        <family val="2"/>
      </rPr>
      <t>Sin Información,Sin Justificación</t>
    </r>
  </si>
  <si>
    <r>
      <t xml:space="preserve">Índice de prestaciones sociales (IPS)
</t>
    </r>
    <r>
      <rPr>
        <sz val="10"/>
        <rFont val="Soberana Sans"/>
        <family val="2"/>
      </rPr>
      <t>Sin Información,Sin Justificación</t>
    </r>
  </si>
  <si>
    <r>
      <t xml:space="preserve">Variación de usuarios de cursos y talleres de capacitación y adiestramiento, promoción de la salud, cultura y deporte y desarrollo cultural realizados respecto al periodo anterior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1,075,789 personas a nivel nacional, con una buena participación de la población derechohabiente, la cual alcanzó el 53% del total de inscritos programados para el trimestre.      Efecto: En el área de Promoción de la Salud y a fin de contribuir a la formación de una cultura de salud, prevenir enfermedades y accidentes e incidir en la superación del nivel de vida, en cursos y talleres, se benefició a    273,081 personas, lo que representó el  79.73 % de la meta programada al trimestre.    En Desarrollo Cultural, se impartieron cursos y talleres en las disciplinas de teatro, danza folclórica, danza creativa, ritmos afrolatinos y baile de salón, música instrumental y vocal, artes visuales y artesanías a  114,834 inscritos, lo que represento un avance del 79.21% de la meta programada para este trimestre.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530 mil 860 inscritos, se logró el 80.13% de la meta programada al tercer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157,014 inscritos en el periodo que representa el  72.10% de la meta programada.     Otros Motivos:De acuerdo al indicador es una tasa de variación que conforme a la fórmula de cálculo, se mide la variación  del número de usuarios que asisten a los cursos y talleres de prestaciones sociales en un periodo de tiempo, respecto del número de usuarios que asisten a los cursos y talleres de prestaciones sociales en el periodo inmediato anterior por lo que el resultado al trimestre es de      -8.73 y la meta al trimestre es de 1.25 en los trimestres anteriores no se ha hecho la resta de           -1*100 por lo cual la diferencia</t>
    </r>
  </si>
  <si>
    <r>
      <t xml:space="preserve">Variación porcentual de servicios funerarios contratados respecto al mismo periodo del año anterior
</t>
    </r>
    <r>
      <rPr>
        <sz val="10"/>
        <rFont val="Soberana Sans"/>
        <family val="2"/>
      </rPr>
      <t xml:space="preserve"> Causa : Durante el periodo julio - septiembre se observó disminución en la captación de servicios con respecto al mismo periodo del ejercicio anterior en un 3.27%, lo anterior debido a   - La falta de operación de los hornos crematorios en el Velatorio de Tequesquináhuac.  - Falta de promotoría.   - Incremento de competencia. Efecto: Respecto al incremento programado de 4% para el periodo de julio a septiembre del presente ejercicio, se observa un decremento de 3.27% en el número de servicios otorgados respecto al ejercicio anterior. Es decir, el valor de indicador representa un porcentaje mucho menor al programado. Otros Motivos:Para alcanzar la meta, se implementarán diversas acciones durante el ejercicio 2018; respecto a la promoción y difusión de los servicios funerarios entre la población derechohabiente del IMSS y público en general, a través de la cobertura de plazas de promotores del FIBESO.</t>
    </r>
  </si>
  <si>
    <r>
      <t xml:space="preserve">Tasa de variación de los usuarios atendidos en los centros vacacionales que propician actividades de esparcimiento
</t>
    </r>
    <r>
      <rPr>
        <sz val="10"/>
        <rFont val="Soberana Sans"/>
        <family val="2"/>
      </rPr>
      <t xml:space="preserve"> Causa : El número de usuarios atendidos en los Centros Vacacionales (CV) que realizan actividades de esparcimiento fue menor al registrado en el mismo trimestre del año anterior, debido a que la capacidad máxima disponible de los CV Atlixco-Metepec y CV Oaxtepec se redujo. El CV Atlixco-Metepec fue abierto al público de manera parcial, derivado de las afectaciones provocadas por el sismo del 19 de septiembre de 2017. Por su parte, uno de los hoteles del CV Oaxtepec estuvo en remodelación. Efecto: En el periodo reportado hubo 19.12% menos usuarios atendidos que realizaron actividades de esparcimiento. Otros Motivos:Existe la posibilidad de que la meta se alcance en la medida en que los espacios disponibles se recuperen gracias a las tareas de rehabilitación y ello haga más atractiva la visita a los CV.</t>
    </r>
  </si>
  <si>
    <r>
      <t xml:space="preserve">Eficacia en la Planeación y Programación de inscritos a cursos y talleres de Desarrollo Cultural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1,075,789 personas a nivel nacional, con una buena participación de la población derechohabiente, la cual alcanzó el 53% del total de inscritos programados para el trimestre.    Efecto: En Desarrollo Cultural, se impartieron cursos y talleres en las disciplinas de teatro, danza folclórica, danza creativa, ritmos afrolatinos y baile de salón, música instrumental y vocal, artes visuales y artesanías a  114,834 inscritos, lo que represento un avance del 79.21% de la meta programada para este trimestre.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</si>
  <si>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Promoción a la Salud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1,075,789 personas a nivel nacional, con una buena participación de la población derechohabiente, la cual alcanzó el 53% del total de inscritos programados para el trimestre.    Efecto: En el área de Promoción de la Salud y a fin de contribuir a la formación de una cultura de salud, prevenir enfermedades y accidentes e incidir en la superación del nivel de vida, en cursos y talleres, se benefició a    273,081 personas, lo que representó el  79.73 % de la meta programada al trimestre.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</si>
  <si>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Cultura Física y Deporte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1,075,789 personas a nivel nacional, con una buena participación de la población derechohabiente, la cual alcanzó el 53% del total de inscritos programados para el trimestre.    Efecto: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530 mil 860 inscritos, se logró el 80.13% de la meta programada al tercer trimestre del año.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</si>
  <si>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Bienestar Social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1,075,789 personas a nivel nacional, con una buena participación de la población derechohabiente, la cual alcanzó el 53% del total de inscritos programados para el trimestre.    Efecto: En el área de Promoción de la Salud y a fin de contribuir a la formación de una cultura de salud, prevenir enfermedades y accidentes e incidir en la superación del nivel de vida, en cursos y talleres, se benefició a    273,081 personas, lo que representó el  79.73 % de la meta programada al trimestre.  En Desarrollo Cultural, se impartieron cursos y talleres en las disciplinas de teatro, danza folclórica, danza creativa, ritmos afrolatinos y baile de salón, música instrumental y vocal, artes visuales y artesanías a  114,834 inscritos, lo que represento un avance del 79.21% de la meta programada para este trimestre.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530 mil 860 inscritos, se logró el 80.13% de la meta programada al tercer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157,014 inscritos en el periodo que representa el  72.10% de la meta programada.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</si>
  <si>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Capacitación y Adistramiento Técnico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1,075,789 personas a nivel nacional, con una buena participación de la población derechohabiente, la cual alcanzó el 53% del total de inscritos programados para el trimestre.    Efecto: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157,014 inscritos en el periodo que representa el  72.10% de la meta programada.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</si>
  <si>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Porcentaje de cumplimiento  de visitas de supervisión para velatorios del IMSS
</t>
    </r>
    <r>
      <rPr>
        <sz val="10"/>
        <rFont val="Soberana Sans"/>
        <family val="2"/>
      </rPr>
      <t xml:space="preserve"> Causa : Durante el periodo de mayo - agosto del presente ejercicio, las Delegaciones realizaron las 34 supervisiones programadas a los Velatorios IMSS establecidas durante el segundo cuatrimestre. No se alcanzó la meta por el rezago derivado del cuatrimestre anterior. Efecto: Se llevó a cabo puntual seguimiento a fin de lograr el cumplimiento de lo programado. Otros Motivos:Se continuará con el seguimiento a fin de lograr el 100% de la meta durante el ejercicio 2018.</t>
    </r>
  </si>
  <si>
    <r>
      <t xml:space="preserve">Variación de pláticas de promoción y difusión de velatorios respecto al año inmediato anterior
</t>
    </r>
    <r>
      <rPr>
        <sz val="10"/>
        <rFont val="Soberana Sans"/>
        <family val="2"/>
      </rPr>
      <t xml:space="preserve"> Causa : Durante el periodo de julio-septiembre del presente ejercicio, los Velatorios IMSS incrementaron el número de pláticas respecto al ejercicio anterior, toda vez que los Velatorios de Doctores, Guadalajara, Pachuca y Tampico realizaron mayor número de pláticas de promoción y difusión de los servicios funerarios, con respecto a las programadas. Efecto: Se incremento el número de pláticas de difusión de los servicios funerarios, toda vez que el personal operativo de los Velatorios en los que no se cuenta con promotores, realizó pláticas logrando una mayor difusión entre la población usuaria en unidades médicas de los servicios que ofrecen los Velatorios IMSS. Otros Motivos:Se prevé continuar con la metodología para realizar pláticas de promoción y lograr que el  cumplimiento sea similar entre los Velatorios.</t>
    </r>
  </si>
  <si>
    <r>
      <t xml:space="preserve">Porcentaje de personas usuarias que se enteraron de los servicios a través de la promoción y difusión de Centros Vacacionales en Internet
</t>
    </r>
    <r>
      <rPr>
        <sz val="10"/>
        <rFont val="Soberana Sans"/>
        <family val="2"/>
      </rPr>
      <t xml:space="preserve"> Causa : Fue posible captar a más usuarios que se enteran de los CV por Internet gracias a que se implementó un nuevo proceso de levantamiento de encuestas en los Centros Vacacionales (que considera un número mínimo de encuestas a reportar). Lo anterior, aunado a las estrategias institucionales de comunicación social que consideran la difusión de los CV en redes sociales. Efecto: El avance reportado para este periodo es mayor a lo programado en un 1.23%, lo cual evidencia la efectividad de las tareas de difusión en Internet.  Otros Motivos:</t>
    </r>
  </si>
  <si>
    <r>
      <t xml:space="preserve">Porcentaje de usuarios que utilizan algún descuento en las tarifas, respecto del total de usuarios registrados
</t>
    </r>
    <r>
      <rPr>
        <sz val="10"/>
        <rFont val="Soberana Sans"/>
        <family val="2"/>
      </rPr>
      <t xml:space="preserve"> Causa : El número de personas que solicitaron algún descuentos ha aumentado durante el año, de acuerdo con lo previsto en la definición de metas. No obstante, el número total de usuarios no ha alcanzado los niveles planeados y, en consecuencia, el porcentaje es mayor al planteado. Efecto: El comportamiento no tiene efectos negativos, por el contrario, los resultados indican que cada vez más se tienen usuarios beneficiados por los descuentos existentes, gracias a las actividades de promoción y difusión de los CV. Otros Motivos:</t>
    </r>
  </si>
  <si>
    <t>J001</t>
  </si>
  <si>
    <t>Pensiones en curso de pago Ley 1973</t>
  </si>
  <si>
    <t>2 - Edad Avanzada</t>
  </si>
  <si>
    <t>7 - Oportunidad en el pago de las prestaciones económicas</t>
  </si>
  <si>
    <t>Contribuir a fomentar la inclusión, educación, competencia y transparencia de los sistemas financiero, asegurador y de pensiones para incrementar su penetración y cobertura, a la vez que mantengan su solidez y seguridad mediante una mayor cobertura hacia la población derechohabiente con el otorgamiento de una pensión, que garantice un nivel de vida digno para la población mexicana.</t>
  </si>
  <si>
    <r>
      <t>Proporción de Población derechohabiente beneficiada con el otorgamiento de pensión.</t>
    </r>
    <r>
      <rPr>
        <i/>
        <sz val="10"/>
        <color indexed="30"/>
        <rFont val="Soberana Sans"/>
      </rPr>
      <t xml:space="preserve">
</t>
    </r>
  </si>
  <si>
    <t>(Pensionados Totales del régimen 73 y 97 / ( Población derechohabiente familiar de trabajadores asegurados + Población derechohabiente familiar de pensionados y jubilados + Asegurados con derecho a pensión)) * 100</t>
  </si>
  <si>
    <r>
      <t>Ahorro financiero interno</t>
    </r>
    <r>
      <rPr>
        <i/>
        <sz val="10"/>
        <color indexed="30"/>
        <rFont val="Soberana Sans"/>
      </rPr>
      <t xml:space="preserve">
Indicador Seleccionado</t>
    </r>
  </si>
  <si>
    <t>El saldo de los activos financieros en manos de personas físicas y morales (tanto residentes como extranjeros) que son intermediados a través de entidades financieras reguladas en México, y que sirve para otorgar financiamiento al sector privado, al sector público o al sector externo</t>
  </si>
  <si>
    <t>Porcentaje del PIB</t>
  </si>
  <si>
    <t>Pensionados que cobran bajo el esquema de acreditamiento en cuenta bancaria disponen de su pensión desde el día primero de cada mes</t>
  </si>
  <si>
    <r>
      <t>Porcentaje de efectividad en los depósitos bancarios para la nómina de pensionados que cobran por acreditamiento en cuenta bancaria</t>
    </r>
    <r>
      <rPr>
        <i/>
        <sz val="10"/>
        <color indexed="30"/>
        <rFont val="Soberana Sans"/>
      </rPr>
      <t xml:space="preserve">
</t>
    </r>
  </si>
  <si>
    <t>((Total de volantes de las pensiones enviados para pago - Volantes rechazados por errores en cuenta) / Total de volantes de las pensiones enviados para pago) * 100</t>
  </si>
  <si>
    <t>A Pensiones tramitadas dentro del tiempo establecido por el H. Consejo Técnico</t>
  </si>
  <si>
    <r>
      <t>Porcentaje de trámites atendidos oportunamente de las pensiones nuevas</t>
    </r>
    <r>
      <rPr>
        <i/>
        <sz val="10"/>
        <color indexed="30"/>
        <rFont val="Soberana Sans"/>
      </rPr>
      <t xml:space="preserve">
</t>
    </r>
  </si>
  <si>
    <t>(Casos tramitados en 12 días naturales / Casos tramitados) X 100</t>
  </si>
  <si>
    <t>A 1 Dictaminación de solicitudes de pensión</t>
  </si>
  <si>
    <r>
      <t>Porcentaje de solicitudes de pensión concluidas.</t>
    </r>
    <r>
      <rPr>
        <i/>
        <sz val="10"/>
        <color indexed="30"/>
        <rFont val="Soberana Sans"/>
      </rPr>
      <t xml:space="preserve">
</t>
    </r>
  </si>
  <si>
    <t>(Solicitudes de pensión atendidas / Total de solicitudes de pensión registradas ) * 100</t>
  </si>
  <si>
    <r>
      <t xml:space="preserve">Proporción de Población derechohabiente beneficiada con el otorgamiento de pensión.
</t>
    </r>
    <r>
      <rPr>
        <sz val="10"/>
        <rFont val="Soberana Sans"/>
        <family val="2"/>
      </rPr>
      <t>Sin Información,Sin Justificación</t>
    </r>
  </si>
  <si>
    <r>
      <t xml:space="preserve">Ahorro financiero interno
</t>
    </r>
    <r>
      <rPr>
        <sz val="10"/>
        <rFont val="Soberana Sans"/>
        <family val="2"/>
      </rPr>
      <t>Sin Información,Sin Justificación</t>
    </r>
  </si>
  <si>
    <r>
      <t xml:space="preserve">Porcentaje de efectividad en los depósitos bancarios para la nómina de pensionados que cobran por acreditamiento en cuenta bancaria
</t>
    </r>
    <r>
      <rPr>
        <sz val="10"/>
        <rFont val="Soberana Sans"/>
        <family val="2"/>
      </rPr>
      <t>Sin Información,Sin Justificación</t>
    </r>
  </si>
  <si>
    <r>
      <t xml:space="preserve">Porcentaje de trámites atendidos oportunamente de las pensiones nuevas
</t>
    </r>
    <r>
      <rPr>
        <sz val="10"/>
        <rFont val="Soberana Sans"/>
        <family val="2"/>
      </rPr>
      <t xml:space="preserve"> Causa : Se captura información con el comportamiento de las metas reales.  Efecto: En el primer semestre de 2018 indicador mostro un comportamiento favorable que alcanzo el 98.48 respecto a la meta establecida, con un nivel de cumplimento de 101.5  Otros Motivos:Al pensionado se le tramita su pensión  en menos de 12 días en que fue solicitada.</t>
    </r>
  </si>
  <si>
    <r>
      <t xml:space="preserve">Porcentaje de solicitudes de pensión concluidas.
</t>
    </r>
    <r>
      <rPr>
        <sz val="10"/>
        <rFont val="Soberana Sans"/>
        <family val="2"/>
      </rPr>
      <t xml:space="preserve"> Causa : Se captura información con el comportamiento de las metas reales. Efecto: En septiembre 2018 la meta real alcanzada se ubicó en 98.27. Otros Motivos:Se continuará dando seguimiento al desempeño del indicador para el ciclo presupuestal 2018. </t>
    </r>
  </si>
  <si>
    <t>J002</t>
  </si>
  <si>
    <t>Rentas vitalicias Ley 1997</t>
  </si>
  <si>
    <r>
      <t>Proporción de Población derechohabiente beneficiada con el otorgamiento de pensión</t>
    </r>
    <r>
      <rPr>
        <i/>
        <sz val="10"/>
        <color indexed="30"/>
        <rFont val="Soberana Sans"/>
      </rPr>
      <t xml:space="preserve">
</t>
    </r>
  </si>
  <si>
    <t>(Pensionados Totales del régimen 73 y 97 / ( Población derechohabiente familiar de trabajadores asegurados + Población derechohabiente familiar de pensionados y jubilados + Asegurados con derecho a pensión)) * 100.</t>
  </si>
  <si>
    <t>Los pensionados que eligieron Ley del Seguro Social 1997 reciben oportunamente el envío de sus Rentas Vitalicias</t>
  </si>
  <si>
    <r>
      <t>Porcentaje de traspaso oportuno a las aseguradoras de las Sumas Aseguradas para pago de pensiones Ley 97</t>
    </r>
    <r>
      <rPr>
        <i/>
        <sz val="10"/>
        <color indexed="30"/>
        <rFont val="Soberana Sans"/>
      </rPr>
      <t xml:space="preserve">
</t>
    </r>
  </si>
  <si>
    <t>(Casos enviados a las aseguradoras al día hábil siguiente de su recepción / Total de casos recibidos para envió a las aseguradoras) * 100</t>
  </si>
  <si>
    <t>A Rentas vitalicias de la Ley del Seguro Social 1997 tramitadas oportunamente</t>
  </si>
  <si>
    <r>
      <t>Porcentaje de rentas vitalicias que se tramitan oportunamente.</t>
    </r>
    <r>
      <rPr>
        <i/>
        <sz val="10"/>
        <color indexed="30"/>
        <rFont val="Soberana Sans"/>
      </rPr>
      <t xml:space="preserve">
</t>
    </r>
  </si>
  <si>
    <t>A 1 Recepción y verificación de solicitudes de pensión para su trámite.</t>
  </si>
  <si>
    <r>
      <t xml:space="preserve">Proporción de Población derechohabiente beneficiada con el otorgamiento de pensión
</t>
    </r>
    <r>
      <rPr>
        <sz val="10"/>
        <rFont val="Soberana Sans"/>
        <family val="2"/>
      </rPr>
      <t>Sin Información,Sin Justificación</t>
    </r>
  </si>
  <si>
    <r>
      <t xml:space="preserve">Porcentaje de traspaso oportuno a las aseguradoras de las Sumas Aseguradas para pago de pensiones Ley 97
</t>
    </r>
    <r>
      <rPr>
        <sz val="10"/>
        <rFont val="Soberana Sans"/>
        <family val="2"/>
      </rPr>
      <t>Sin Información,Sin Justificación</t>
    </r>
  </si>
  <si>
    <r>
      <t xml:space="preserve">Porcentaje de rentas vitalicias que se tramitan oportunamente.
</t>
    </r>
    <r>
      <rPr>
        <sz val="10"/>
        <rFont val="Soberana Sans"/>
        <family val="2"/>
      </rPr>
      <t xml:space="preserve"> Causa : Se captura información con el comportamiento de las metas reales.  Efecto: En el primer semestre de 2018 indicador mostro un comportamiento favorable que alcanzo el 98.44 respecto a la meta establecida, con un nivel de cumplimiento de 101.5  Otros Motivos:Al pensionado se le tramita su pensión  en menos de 12 días en que fue solicitada. </t>
    </r>
  </si>
  <si>
    <r>
      <t xml:space="preserve">Porcentaje de solicitudes de pensión concluidas.
</t>
    </r>
    <r>
      <rPr>
        <sz val="10"/>
        <rFont val="Soberana Sans"/>
        <family val="2"/>
      </rPr>
      <t xml:space="preserve"> Causa : Se captura información con el comportamiento de las metas reales. Efecto: En septiembre 2018 la meta real alcanzada se ubicó en 98.27 .   Otros Motivos:Se continuará dando seguimiento al desempeño del indicador para el ciclo presupuestal 2018. </t>
    </r>
  </si>
  <si>
    <t>J004</t>
  </si>
  <si>
    <t>Pago de subsidios a los asegurados</t>
  </si>
  <si>
    <t>1 - Enfermedad e incapacidad</t>
  </si>
  <si>
    <t>Contribuir a fomentar la inclusión, educación, competencia y transparencia de los sistemas financiero, asegurador y de pensiones para incrementar su penetración y cobertura, a la vez que mantengan su solidez y seguridad. mediante la disponibilidad del pago de subsidio a través de los recursos transferidos a las instituciones bancarias.</t>
  </si>
  <si>
    <r>
      <t>Financiamiento interno al sector privado</t>
    </r>
    <r>
      <rPr>
        <i/>
        <sz val="10"/>
        <color indexed="30"/>
        <rFont val="Soberana Sans"/>
      </rPr>
      <t xml:space="preserve">
Indicador Seleccionado</t>
    </r>
  </si>
  <si>
    <t>Incluye el financiamiento a la actividad empresarial, consumo y vivienda, canalizado por la banca comercial, banca de desarrollo, mercado de deuda y capitales, INFONAVIT, FOVISSSTE, FONACOT, Sofoles (hasta julio de 2013), Sofomes Reguladas y Sofomes No Reguladas que emiten deuda en el mercado de valores, entidades de ahorro y crédito popular, uniones de crédito, organizaciones auxiliares del crédito y Financiera Rural</t>
  </si>
  <si>
    <r>
      <t>Proporción de la población asegurada beneficiada con un ingreso por concepto de pago de subsidio por Incapacidad</t>
    </r>
    <r>
      <rPr>
        <i/>
        <sz val="10"/>
        <color indexed="30"/>
        <rFont val="Soberana Sans"/>
      </rPr>
      <t xml:space="preserve">
</t>
    </r>
  </si>
  <si>
    <t>(Certificados Iniciales del periodo / la Poblacion Asegurada con derecho a Subsidio) * 100</t>
  </si>
  <si>
    <t>Los asegurados disponen del pago de subsidio a través de los recursos transferidos a las instituciones bancarias.</t>
  </si>
  <si>
    <r>
      <t>Porcentaje de casos dispuestos en ventanilla de la institución bancaría para cobro del subsidio por el asegurado en un plazo máximo de 3 días.</t>
    </r>
    <r>
      <rPr>
        <i/>
        <sz val="10"/>
        <color indexed="30"/>
        <rFont val="Soberana Sans"/>
      </rPr>
      <t xml:space="preserve">
</t>
    </r>
  </si>
  <si>
    <t>Total de incapacidades enviadas a ventanilla con un plazo de máximo de 3 día / Total de incapacidades autorizadas en el mes X 100</t>
  </si>
  <si>
    <t>A Incapacidades nominativas tramitadas dentro del tiempo oportuno.</t>
  </si>
  <si>
    <r>
      <t xml:space="preserve">Proporción de casos tramitados oportunos de las incapacidades nominativas con pago  </t>
    </r>
    <r>
      <rPr>
        <i/>
        <sz val="10"/>
        <color indexed="30"/>
        <rFont val="Soberana Sans"/>
      </rPr>
      <t xml:space="preserve">
</t>
    </r>
  </si>
  <si>
    <t>(Casos nominativos tramitados en términos de 7 días naturales / Total de casos nominativos) X 100</t>
  </si>
  <si>
    <t>A 1 Recepción y captura de incapacidades con derecho a subsidio que se reciben para su pago.</t>
  </si>
  <si>
    <r>
      <t>Total de Certificados de Incapacidad subsidiados.</t>
    </r>
    <r>
      <rPr>
        <i/>
        <sz val="10"/>
        <color indexed="30"/>
        <rFont val="Soberana Sans"/>
      </rPr>
      <t xml:space="preserve">
</t>
    </r>
  </si>
  <si>
    <t>Suma (Certificados subsidiados totales)</t>
  </si>
  <si>
    <t>Certificados subsidiados</t>
  </si>
  <si>
    <t>Gestión-Eficiencia-Mensual</t>
  </si>
  <si>
    <r>
      <t xml:space="preserve">Financiamiento interno al sector privado
</t>
    </r>
    <r>
      <rPr>
        <sz val="10"/>
        <rFont val="Soberana Sans"/>
        <family val="2"/>
      </rPr>
      <t>Sin Información,Sin Justificación</t>
    </r>
  </si>
  <si>
    <r>
      <t xml:space="preserve">Proporción de la población asegurada beneficiada con un ingreso por concepto de pago de subsidio por Incapacidad
</t>
    </r>
    <r>
      <rPr>
        <sz val="10"/>
        <rFont val="Soberana Sans"/>
        <family val="2"/>
      </rPr>
      <t>Sin Información,Sin Justificación</t>
    </r>
  </si>
  <si>
    <r>
      <t xml:space="preserve">Porcentaje de casos dispuestos en ventanilla de la institución bancaría para cobro del subsidio por el asegurado en un plazo máximo de 3 días.
</t>
    </r>
    <r>
      <rPr>
        <sz val="10"/>
        <rFont val="Soberana Sans"/>
        <family val="2"/>
      </rPr>
      <t>Sin Información,Sin Justificación</t>
    </r>
  </si>
  <si>
    <r>
      <t xml:space="preserve">Proporción de casos tramitados oportunos de las incapacidades nominativas con pago  
</t>
    </r>
    <r>
      <rPr>
        <sz val="10"/>
        <rFont val="Soberana Sans"/>
        <family val="2"/>
      </rPr>
      <t xml:space="preserve"> Causa : Se captura información con el comportamiento de la meta real alcanzada.  Efecto: En el primer semestre de 2018 indicador mostro un comportamiento favorable que alcanzo el 99.5 respecto a la meta establecida, con un nivel de cumplimiento de 100.5  Otros Motivos:Al asegurado se le tramita su incapacidad temporal para el trabajo en los 7 días posteriores a la fecha de expedición. </t>
    </r>
  </si>
  <si>
    <r>
      <t xml:space="preserve">Total de Certificados de Incapacidad subsidiados.
</t>
    </r>
    <r>
      <rPr>
        <sz val="10"/>
        <rFont val="Soberana Sans"/>
        <family val="2"/>
      </rPr>
      <t xml:space="preserve"> Causa : Se captura información con el comportamiento de las metas reales.  Efecto: Al mes de septiembre la meta real se ubicó en 4,427,820 incapacidades, el 100% tuvieron derecho a pago de subsidio.  Otros Motivos:El nivel de cumplimiento se ubica en 103 con una variación de 2.8%  respecto a la meta establecida.  Se informa que este indicador tiene el programa asociado de "Seguimiento a las Incapacidades Temporales para el Trabajo" para dar un seguimiento puntual a estas. </t>
    </r>
  </si>
  <si>
    <t>K012</t>
  </si>
  <si>
    <t>Proyectos de infraestructura social de asistencia y seguridad social</t>
  </si>
  <si>
    <t>Contribuir a asegurar la generación y el uso efectivo de los recursos en salud mediante la planeación y uso efectivo de los recursos de infraestructura y equipamiento.</t>
  </si>
  <si>
    <r>
      <t>Metros cuadrados de construcción</t>
    </r>
    <r>
      <rPr>
        <i/>
        <sz val="10"/>
        <color indexed="30"/>
        <rFont val="Soberana Sans"/>
      </rPr>
      <t xml:space="preserve">
</t>
    </r>
  </si>
  <si>
    <t>Suma de los metros cuadrados construidos</t>
  </si>
  <si>
    <t>Metro cuadrado</t>
  </si>
  <si>
    <r>
      <t>Porcentaje de gasto público en salud destinado a la provisión de atención médica y salud pública extramuros</t>
    </r>
    <r>
      <rPr>
        <i/>
        <sz val="10"/>
        <color indexed="30"/>
        <rFont val="Soberana Sans"/>
      </rPr>
      <t xml:space="preserve">
Indicador Seleccionado</t>
    </r>
  </si>
  <si>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</si>
  <si>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La población objetivo es beneficiada con el incremento proporcional de infraestructura médica</t>
  </si>
  <si>
    <r>
      <t>Tasa de variación de incremento de metros cuadrados construidos</t>
    </r>
    <r>
      <rPr>
        <i/>
        <sz val="10"/>
        <color indexed="30"/>
        <rFont val="Soberana Sans"/>
      </rPr>
      <t xml:space="preserve">
</t>
    </r>
  </si>
  <si>
    <t>{Metros cuadrados construidos 2016 / [Suma metros cuadrados construidos período (2010 a 2015)]}*100</t>
  </si>
  <si>
    <t>A Infraestructura terminada.</t>
  </si>
  <si>
    <r>
      <t>Porcentaje de obras terminadas</t>
    </r>
    <r>
      <rPr>
        <i/>
        <sz val="10"/>
        <color indexed="30"/>
        <rFont val="Soberana Sans"/>
      </rPr>
      <t xml:space="preserve">
</t>
    </r>
  </si>
  <si>
    <t>(Obras entregadas / obras autorizadas) * 100</t>
  </si>
  <si>
    <t>A 1 Planeación, diseño, construcción de la infraestructura.</t>
  </si>
  <si>
    <r>
      <t>Porcentaje de avance de Obras</t>
    </r>
    <r>
      <rPr>
        <i/>
        <sz val="10"/>
        <color indexed="30"/>
        <rFont val="Soberana Sans"/>
      </rPr>
      <t xml:space="preserve">
</t>
    </r>
  </si>
  <si>
    <t>(Porcentaje realizado / porcentaje programado) * 100</t>
  </si>
  <si>
    <r>
      <t xml:space="preserve">Metros cuadrados de construcción
</t>
    </r>
    <r>
      <rPr>
        <sz val="10"/>
        <rFont val="Soberana Sans"/>
        <family val="2"/>
      </rPr>
      <t>Sin Información,Sin Justificación</t>
    </r>
  </si>
  <si>
    <r>
      <t xml:space="preserve">Porcentaje de gasto público en salud destinado a la provisión de atención médica y salud pública extramuros
</t>
    </r>
    <r>
      <rPr>
        <sz val="10"/>
        <rFont val="Soberana Sans"/>
        <family val="2"/>
      </rPr>
      <t>Sin Información,Sin Justificación</t>
    </r>
  </si>
  <si>
    <r>
      <t xml:space="preserve">Tasa de variación de incremento de metros cuadrados construidos
</t>
    </r>
    <r>
      <rPr>
        <sz val="10"/>
        <rFont val="Soberana Sans"/>
        <family val="2"/>
      </rPr>
      <t>Sin Información,Sin Justificación</t>
    </r>
  </si>
  <si>
    <r>
      <t xml:space="preserve">Porcentaje de obras terminadas
</t>
    </r>
    <r>
      <rPr>
        <sz val="10"/>
        <rFont val="Soberana Sans"/>
        <family val="2"/>
      </rPr>
      <t xml:space="preserve"> Causa : Se cumplió con la meta esperada Efecto: Se cumplió con la meta esperada Otros Motivos:</t>
    </r>
  </si>
  <si>
    <r>
      <t xml:space="preserve">Porcentaje de avance de Obras
</t>
    </r>
    <r>
      <rPr>
        <sz val="10"/>
        <rFont val="Soberana Sans"/>
        <family val="2"/>
      </rPr>
      <t xml:space="preserve"> Causa : Se cumplió con la meta programada Efecto: Se cumplió con la meta programada Otros Motivos:</t>
    </r>
  </si>
  <si>
    <t>K029</t>
  </si>
  <si>
    <t>Programas de adquisiciones</t>
  </si>
  <si>
    <t>Contribuir a asegurar la generación y el uso efectivo de los recursos en salud mediante la sustitución del equipo deteriorado de las Unidades del Instituto, para brindar servicios oportunos y de calidad a la población derechohabiente.</t>
  </si>
  <si>
    <t>Las unidades medicas y no medicas del Instituto cuentan con el equipamiento necesario para otorgar atención de calidad a los usuarios.</t>
  </si>
  <si>
    <r>
      <t>Impacto de los equipos médicos recibidos, en la atención a los derechohabientes en las Unidades Médicas del Instituto.</t>
    </r>
    <r>
      <rPr>
        <i/>
        <sz val="10"/>
        <color indexed="30"/>
        <rFont val="Soberana Sans"/>
      </rPr>
      <t xml:space="preserve">
</t>
    </r>
  </si>
  <si>
    <t>Promedio de la puntuación obtenida en la Encuesta Nacional de Equipo Médico Adquirido.</t>
  </si>
  <si>
    <t>Promedio</t>
  </si>
  <si>
    <r>
      <t>Porcentaje de unidades beneficiadas con los bienes de inversión adquiridos</t>
    </r>
    <r>
      <rPr>
        <i/>
        <sz val="10"/>
        <color indexed="30"/>
        <rFont val="Soberana Sans"/>
      </rPr>
      <t xml:space="preserve">
</t>
    </r>
  </si>
  <si>
    <t>(Cantidad de Unidades Total / Cantidad de Unidades Beneficiada)*100</t>
  </si>
  <si>
    <t>A Equipos médicos y no médicos operando en las Unidades del Instituto.</t>
  </si>
  <si>
    <r>
      <t>Porcentaje de recepción de equipo adquirido</t>
    </r>
    <r>
      <rPr>
        <i/>
        <sz val="10"/>
        <color indexed="30"/>
        <rFont val="Soberana Sans"/>
      </rPr>
      <t xml:space="preserve">
</t>
    </r>
  </si>
  <si>
    <t>(Número de equipos recibidos / Total de equipos adquiridos) x 100</t>
  </si>
  <si>
    <r>
      <t xml:space="preserve">Porcentaje de equipos no médicos  instalados, funcionando y puestos en operación  </t>
    </r>
    <r>
      <rPr>
        <i/>
        <sz val="10"/>
        <color indexed="30"/>
        <rFont val="Soberana Sans"/>
      </rPr>
      <t xml:space="preserve">
</t>
    </r>
  </si>
  <si>
    <t>(Equipos no médicos instalados / Equipos no médicos autorizados)*100</t>
  </si>
  <si>
    <t>A 1 Integración de los requerimientos de sustitución de equipo médico y no médico de las Unidades del Instituto.</t>
  </si>
  <si>
    <r>
      <t>Porcentaje de requerimientos y detección de necesidades de sustitución de equipo no médico en las Unidades del Ámbito Institucional.</t>
    </r>
    <r>
      <rPr>
        <i/>
        <sz val="10"/>
        <color indexed="30"/>
        <rFont val="Soberana Sans"/>
      </rPr>
      <t xml:space="preserve">
</t>
    </r>
  </si>
  <si>
    <t>(Número de solicitudes de requerimiento autorizado / Numero de requerimientos recibidos)*100</t>
  </si>
  <si>
    <r>
      <t>Porcentaje de requerimientos actualizados</t>
    </r>
    <r>
      <rPr>
        <i/>
        <sz val="10"/>
        <color indexed="30"/>
        <rFont val="Soberana Sans"/>
      </rPr>
      <t xml:space="preserve">
</t>
    </r>
  </si>
  <si>
    <t>(Número de solicitudes de requerimiento validadas / Numero de requerimientos recibidos)*100</t>
  </si>
  <si>
    <t>Gestión-Eficiencia-Anual</t>
  </si>
  <si>
    <t>A 2 Adjudicación del suministro de los equipos de sustitución, médicos y no médicos en las Unidades del Instituto</t>
  </si>
  <si>
    <r>
      <t xml:space="preserve">Porcentaje de adquisición de equipo médico </t>
    </r>
    <r>
      <rPr>
        <i/>
        <sz val="10"/>
        <color indexed="30"/>
        <rFont val="Soberana Sans"/>
      </rPr>
      <t xml:space="preserve">
</t>
    </r>
  </si>
  <si>
    <t xml:space="preserve">(Número de equipos adjudicados/ Total de equipos incorporados en los procesos de adquisición) * 100 </t>
  </si>
  <si>
    <r>
      <t>Porcentaje de expedientes que llegan a fallo integrados para la planeación e integración del Programa de Adquisiciones</t>
    </r>
    <r>
      <rPr>
        <i/>
        <sz val="10"/>
        <color indexed="30"/>
        <rFont val="Soberana Sans"/>
      </rPr>
      <t xml:space="preserve">
</t>
    </r>
  </si>
  <si>
    <t>(Cantidad de expedientes de sustitución de equipo no médico, que llegan a fallo / Cantidad de expedientes concluidos)*100</t>
  </si>
  <si>
    <r>
      <t xml:space="preserve">Impacto de los equipos médicos recibidos, en la atención a los derechohabientes en las Unidades Médicas del Instituto.
</t>
    </r>
    <r>
      <rPr>
        <sz val="10"/>
        <rFont val="Soberana Sans"/>
        <family val="2"/>
      </rPr>
      <t>Sin Información,Sin Justificación</t>
    </r>
  </si>
  <si>
    <r>
      <t xml:space="preserve">Porcentaje de unidades beneficiadas con los bienes de inversión adquiridos
</t>
    </r>
    <r>
      <rPr>
        <sz val="10"/>
        <rFont val="Soberana Sans"/>
        <family val="2"/>
      </rPr>
      <t>Sin Información,Sin Justificación</t>
    </r>
  </si>
  <si>
    <r>
      <t xml:space="preserve">Porcentaje de recepción de equipo adquirido
</t>
    </r>
    <r>
      <rPr>
        <sz val="10"/>
        <rFont val="Soberana Sans"/>
        <family val="2"/>
      </rPr>
      <t>Sin Información,Sin Justificación</t>
    </r>
  </si>
  <si>
    <r>
      <t xml:space="preserve">Porcentaje de equipos no médicos  instalados, funcionando y puestos en operación  
</t>
    </r>
    <r>
      <rPr>
        <sz val="10"/>
        <rFont val="Soberana Sans"/>
        <family val="2"/>
      </rPr>
      <t>Sin Información,Sin Justificación</t>
    </r>
  </si>
  <si>
    <r>
      <t xml:space="preserve">Porcentaje de requerimientos y detección de necesidades de sustitución de equipo no médico en las Unidades del Ámbito Institucional.
</t>
    </r>
    <r>
      <rPr>
        <sz val="10"/>
        <rFont val="Soberana Sans"/>
        <family val="2"/>
      </rPr>
      <t>Sin Información,Sin Justificación</t>
    </r>
  </si>
  <si>
    <r>
      <t xml:space="preserve">Porcentaje de requerimientos actualizados
</t>
    </r>
    <r>
      <rPr>
        <sz val="10"/>
        <rFont val="Soberana Sans"/>
        <family val="2"/>
      </rPr>
      <t>Sin Información,Sin Justificación</t>
    </r>
  </si>
  <si>
    <r>
      <t xml:space="preserve">Porcentaje de adquisición de equipo médico 
</t>
    </r>
    <r>
      <rPr>
        <sz val="10"/>
        <rFont val="Soberana Sans"/>
        <family val="2"/>
      </rPr>
      <t xml:space="preserve"> Causa : Gran parte de los equipos considerados en el total de equipos incorporados en los procesos de adquisición, correspondía al programa nacional de sustitución de camas hospitalarias, y correspondía a 20,904 camas. Sin embargo dicho procedimiento de licitación se declaró desierto por lo que el avance es muy inferior a lo planeado y no podrá alcanzarse la meta propuesta.  Efecto: La variación traerá como consecuencia que durante este ejercicio no se pueda alcanzar la meta propuesta, debido a que el procedimiento desierto corresponde a un gran porcentaje del total propuesto.  Otros Motivos:Licitación desierta</t>
    </r>
  </si>
  <si>
    <r>
      <t xml:space="preserve">Porcentaje de expedientes que llegan a fallo integrados para la planeación e integración del Programa de Adquisiciones
</t>
    </r>
    <r>
      <rPr>
        <sz val="10"/>
        <rFont val="Soberana Sans"/>
        <family val="2"/>
      </rPr>
      <t xml:space="preserve"> Causa : El porcentaje es 0 (cero) toda vez que no se han finiquitado los procesos licitatorios referentes al programa K-029 Programas de Adquisición, dependientes de esta normativa. Efecto:  Otros Motivos:</t>
    </r>
  </si>
  <si>
    <t>Reporte de avance de los Indicadores de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</si>
</sst>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0"/>
      <name val="Soberana Sans"/>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8" fillId="0" borderId="16"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8" fillId="36" borderId="2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4" fontId="19" fillId="0" borderId="40" xfId="0" applyNumberFormat="1" applyFont="1" applyBorder="1" applyAlignment="1">
      <alignment horizontal="right" vertical="top" wrapText="1"/>
    </xf>
    <xf numFmtId="164" fontId="0" fillId="0" borderId="41" xfId="0" applyNumberFormat="1" applyBorder="1" applyAlignment="1">
      <alignment horizontal="right" vertical="top" wrapText="1"/>
    </xf>
    <xf numFmtId="0" fontId="18" fillId="0" borderId="42" xfId="0" applyFont="1" applyFill="1" applyBorder="1" applyAlignment="1">
      <alignment vertical="top" wrapText="1"/>
    </xf>
    <xf numFmtId="4" fontId="19" fillId="0" borderId="43" xfId="0" applyNumberFormat="1" applyFont="1" applyBorder="1" applyAlignment="1">
      <alignment horizontal="right" vertical="top" wrapText="1"/>
    </xf>
    <xf numFmtId="3"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4" fontId="0" fillId="0" borderId="52" xfId="0" applyNumberFormat="1" applyFill="1" applyBorder="1" applyAlignment="1">
      <alignment horizontal="right" vertical="top" wrapText="1"/>
    </xf>
    <xf numFmtId="164" fontId="19" fillId="0" borderId="53" xfId="0" applyNumberFormat="1" applyFont="1" applyFill="1" applyBorder="1" applyAlignment="1">
      <alignment horizontal="right"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3" fontId="19" fillId="0" borderId="40" xfId="0" applyNumberFormat="1" applyFont="1" applyBorder="1" applyAlignment="1">
      <alignment horizontal="right" vertical="top" wrapText="1"/>
    </xf>
    <xf numFmtId="0" fontId="28" fillId="33" borderId="0" xfId="0" applyFont="1" applyFill="1" applyAlignment="1">
      <alignment horizontal="center" vertical="center" wrapText="1"/>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18" fillId="0" borderId="42"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60"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6"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0" fillId="0" borderId="43" xfId="0" applyFill="1" applyBorder="1" applyAlignment="1">
      <alignment horizontal="justify" vertical="top" wrapText="1"/>
    </xf>
    <xf numFmtId="0" fontId="0" fillId="0" borderId="40" xfId="0" applyFill="1" applyBorder="1" applyAlignment="1">
      <alignment horizontal="justify" vertical="top" wrapText="1"/>
    </xf>
    <xf numFmtId="0" fontId="18" fillId="36" borderId="22"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0" xfId="0" applyFont="1" applyFill="1" applyBorder="1" applyAlignment="1">
      <alignment horizontal="center" vertical="top" wrapText="1"/>
    </xf>
    <xf numFmtId="0" fontId="18" fillId="36" borderId="26"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9" fillId="0" borderId="17" xfId="0" applyFont="1" applyBorder="1" applyAlignment="1">
      <alignment horizontal="justify" vertical="top" wrapText="1"/>
    </xf>
    <xf numFmtId="0" fontId="19" fillId="0" borderId="18" xfId="0" applyFont="1" applyBorder="1" applyAlignment="1">
      <alignment horizontal="justify" vertical="top" wrapText="1"/>
    </xf>
    <xf numFmtId="0" fontId="18" fillId="36" borderId="19"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0"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8"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29" fillId="33" borderId="0" xfId="0" applyFont="1" applyFill="1" applyAlignment="1">
      <alignment horizontal="center" vertical="center" wrapText="1"/>
    </xf>
    <xf numFmtId="0" fontId="30" fillId="0" borderId="0" xfId="0" applyFont="1" applyBorder="1" applyAlignment="1">
      <alignment horizontal="justify"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tabSelected="1" view="pageBreakPreview" topLeftCell="A13" zoomScale="80" zoomScaleNormal="80" zoomScaleSheetLayoutView="80" workbookViewId="0">
      <selection activeCell="B2" sqref="B2"/>
    </sheetView>
  </sheetViews>
  <sheetFormatPr baseColWidth="10" defaultColWidth="5" defaultRowHeight="12.75" x14ac:dyDescent="0.2"/>
  <cols>
    <col min="1" max="1" width="3.5" style="1" customWidth="1"/>
    <col min="2" max="16384" width="5" style="1"/>
  </cols>
  <sheetData>
    <row r="1" spans="2:30" s="2" customFormat="1" ht="48" customHeight="1" x14ac:dyDescent="0.2">
      <c r="B1" s="55" t="s">
        <v>584</v>
      </c>
      <c r="C1" s="55"/>
      <c r="D1" s="55"/>
      <c r="E1" s="55"/>
      <c r="F1" s="55"/>
      <c r="G1" s="55"/>
      <c r="H1" s="55"/>
      <c r="I1" s="55"/>
      <c r="J1" s="55"/>
      <c r="K1" s="55"/>
      <c r="L1" s="55"/>
      <c r="M1" s="55"/>
      <c r="N1" s="55"/>
      <c r="O1" s="55"/>
      <c r="P1" s="55"/>
      <c r="Q1" s="3" t="s">
        <v>0</v>
      </c>
    </row>
    <row r="2" spans="2:30" ht="13.5" customHeight="1" x14ac:dyDescent="0.2"/>
    <row r="3" spans="2:30" ht="13.5" customHeight="1" x14ac:dyDescent="0.2"/>
    <row r="4" spans="2:30" ht="13.5" customHeight="1" x14ac:dyDescent="0.2"/>
    <row r="5" spans="2:30" ht="13.5" customHeight="1" x14ac:dyDescent="0.2"/>
    <row r="6" spans="2:30" ht="13.5" customHeight="1" x14ac:dyDescent="0.2"/>
    <row r="7" spans="2:30" ht="13.5" customHeight="1" x14ac:dyDescent="0.2"/>
    <row r="8" spans="2:30" ht="13.5" customHeight="1" x14ac:dyDescent="0.2"/>
    <row r="9" spans="2:30" ht="13.5" customHeight="1" x14ac:dyDescent="0.2"/>
    <row r="10" spans="2:30" ht="13.5" customHeight="1" x14ac:dyDescent="0.2"/>
    <row r="11" spans="2:30" ht="13.5" customHeight="1" x14ac:dyDescent="0.2">
      <c r="B11" s="56" t="s">
        <v>1</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row>
    <row r="12" spans="2:30" ht="13.5" customHeight="1" x14ac:dyDescent="0.2">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row>
    <row r="13" spans="2:30" ht="13.5" customHeight="1" x14ac:dyDescent="0.2">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row>
    <row r="14" spans="2:30" ht="13.5" customHeight="1" x14ac:dyDescent="0.2">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row>
    <row r="15" spans="2:30" ht="13.5" customHeight="1" x14ac:dyDescent="0.2">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row>
    <row r="16" spans="2:30" ht="13.5" customHeight="1" x14ac:dyDescent="0.2">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row>
    <row r="17" spans="2:30" ht="13.5" customHeight="1" x14ac:dyDescent="0.2">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row>
    <row r="18" spans="2:30" ht="13.5" customHeight="1" x14ac:dyDescent="0.2">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row>
    <row r="19" spans="2:30" ht="13.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row>
    <row r="20" spans="2:30" ht="13.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row>
    <row r="21" spans="2:30" ht="13.5" customHeight="1" x14ac:dyDescent="0.2">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row>
    <row r="22" spans="2:30" ht="13.5" customHeight="1" x14ac:dyDescent="0.2">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row>
    <row r="23" spans="2:30" ht="13.5" customHeight="1" x14ac:dyDescent="0.2">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row>
    <row r="24" spans="2:30" ht="13.5" customHeight="1" x14ac:dyDescent="0.2">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row>
    <row r="25" spans="2:30" ht="13.5" customHeight="1" x14ac:dyDescent="0.2">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row>
    <row r="26" spans="2:30" ht="13.5" customHeight="1" x14ac:dyDescent="0.2">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row>
    <row r="27" spans="2:30" ht="13.5" customHeight="1" x14ac:dyDescent="0.2">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row>
    <row r="28" spans="2:30" ht="13.5" customHeight="1" x14ac:dyDescent="0.2">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row>
    <row r="29" spans="2:30" ht="13.5" customHeight="1" x14ac:dyDescent="0.2">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row>
    <row r="30" spans="2:30" ht="13.5" customHeight="1" x14ac:dyDescent="0.2">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row>
    <row r="31" spans="2:30" ht="13.5" customHeight="1" x14ac:dyDescent="0.2">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row>
    <row r="32" spans="2:30" ht="13.5" customHeight="1" x14ac:dyDescent="0.2">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row>
    <row r="33" spans="2:30" ht="13.5" customHeight="1" x14ac:dyDescent="0.2">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row>
    <row r="34" spans="2:30" ht="13.5" customHeight="1" x14ac:dyDescent="0.2">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row>
    <row r="35" spans="2:30" ht="13.5" customHeight="1" x14ac:dyDescent="0.2"/>
    <row r="36" spans="2:30" ht="13.5" customHeight="1" x14ac:dyDescent="0.2"/>
    <row r="37" spans="2:30" ht="13.5" customHeight="1" x14ac:dyDescent="0.2"/>
    <row r="38" spans="2:30" ht="13.5" customHeight="1" x14ac:dyDescent="0.2"/>
    <row r="39" spans="2:30" ht="13.5" customHeight="1" x14ac:dyDescent="0.2"/>
    <row r="40" spans="2:30" ht="13.5" customHeight="1" x14ac:dyDescent="0.2"/>
    <row r="41" spans="2:30" ht="13.5" customHeight="1" x14ac:dyDescent="0.2"/>
    <row r="42" spans="2:30" ht="13.5" customHeight="1" x14ac:dyDescent="0.2"/>
    <row r="43" spans="2:30" ht="13.5" customHeight="1" x14ac:dyDescent="0.2"/>
    <row r="44" spans="2:30" ht="13.5" customHeight="1" x14ac:dyDescent="0.2"/>
    <row r="45" spans="2:30" ht="13.5" customHeight="1" x14ac:dyDescent="0.2"/>
    <row r="46" spans="2:30" ht="13.5" customHeight="1" x14ac:dyDescent="0.2"/>
    <row r="47" spans="2:30" ht="13.5" customHeight="1" x14ac:dyDescent="0.2"/>
    <row r="48" spans="2:30" ht="13.5" customHeight="1" x14ac:dyDescent="0.2"/>
    <row r="49" spans="4:28" ht="20.25" customHeight="1" x14ac:dyDescent="0.2">
      <c r="D49" s="57" t="s">
        <v>2</v>
      </c>
      <c r="E49" s="57"/>
      <c r="F49" s="57"/>
      <c r="G49" s="57"/>
      <c r="H49" s="57"/>
      <c r="I49" s="57"/>
      <c r="J49" s="57"/>
      <c r="K49" s="57"/>
      <c r="L49" s="57"/>
      <c r="M49" s="57"/>
      <c r="N49" s="57"/>
      <c r="O49" s="57"/>
      <c r="P49" s="57"/>
      <c r="Q49" s="57"/>
      <c r="R49" s="57"/>
      <c r="S49" s="57"/>
      <c r="T49" s="57"/>
      <c r="U49" s="57"/>
      <c r="V49" s="57"/>
      <c r="W49" s="57"/>
      <c r="X49" s="57"/>
      <c r="Y49" s="57"/>
      <c r="Z49" s="57"/>
      <c r="AA49" s="57"/>
      <c r="AB49" s="57"/>
    </row>
    <row r="50" spans="4:28" ht="13.5" customHeight="1" x14ac:dyDescent="0.2">
      <c r="D50" s="58" t="s">
        <v>3</v>
      </c>
      <c r="E50" s="58"/>
      <c r="F50" s="58"/>
      <c r="G50" s="58"/>
      <c r="H50" s="58"/>
      <c r="I50" s="58"/>
      <c r="J50" s="58"/>
      <c r="K50" s="58"/>
      <c r="L50" s="58"/>
      <c r="M50" s="58"/>
      <c r="N50" s="58"/>
      <c r="O50" s="58"/>
      <c r="P50" s="58"/>
      <c r="Q50" s="58"/>
      <c r="R50" s="58"/>
      <c r="S50" s="58"/>
      <c r="T50" s="58"/>
      <c r="U50" s="58"/>
      <c r="V50" s="58"/>
      <c r="W50" s="58"/>
      <c r="X50" s="58"/>
      <c r="Y50" s="58"/>
      <c r="Z50" s="58"/>
      <c r="AA50" s="58"/>
      <c r="AB50" s="58"/>
    </row>
    <row r="51" spans="4:28" ht="13.5" customHeight="1" x14ac:dyDescent="0.2">
      <c r="D51" s="58"/>
      <c r="E51" s="58"/>
      <c r="F51" s="58"/>
      <c r="G51" s="58"/>
      <c r="H51" s="58"/>
      <c r="I51" s="58"/>
      <c r="J51" s="58"/>
      <c r="K51" s="58"/>
      <c r="L51" s="58"/>
      <c r="M51" s="58"/>
      <c r="N51" s="58"/>
      <c r="O51" s="58"/>
      <c r="P51" s="58"/>
      <c r="Q51" s="58"/>
      <c r="R51" s="58"/>
      <c r="S51" s="58"/>
      <c r="T51" s="58"/>
      <c r="U51" s="58"/>
      <c r="V51" s="58"/>
      <c r="W51" s="58"/>
      <c r="X51" s="58"/>
      <c r="Y51" s="58"/>
      <c r="Z51" s="58"/>
      <c r="AA51" s="58"/>
      <c r="AB51" s="58"/>
    </row>
    <row r="52" spans="4:28" ht="13.5" customHeight="1" x14ac:dyDescent="0.2">
      <c r="D52" s="58"/>
      <c r="E52" s="58"/>
      <c r="F52" s="58"/>
      <c r="G52" s="58"/>
      <c r="H52" s="58"/>
      <c r="I52" s="58"/>
      <c r="J52" s="58"/>
      <c r="K52" s="58"/>
      <c r="L52" s="58"/>
      <c r="M52" s="58"/>
      <c r="N52" s="58"/>
      <c r="O52" s="58"/>
      <c r="P52" s="58"/>
      <c r="Q52" s="58"/>
      <c r="R52" s="58"/>
      <c r="S52" s="58"/>
      <c r="T52" s="58"/>
      <c r="U52" s="58"/>
      <c r="V52" s="58"/>
      <c r="W52" s="58"/>
      <c r="X52" s="58"/>
      <c r="Y52" s="58"/>
      <c r="Z52" s="58"/>
      <c r="AA52" s="58"/>
      <c r="AB52" s="58"/>
    </row>
    <row r="53" spans="4:28" ht="13.5" customHeight="1" x14ac:dyDescent="0.2">
      <c r="D53" s="58"/>
      <c r="E53" s="58"/>
      <c r="F53" s="58"/>
      <c r="G53" s="58"/>
      <c r="H53" s="58"/>
      <c r="I53" s="58"/>
      <c r="J53" s="58"/>
      <c r="K53" s="58"/>
      <c r="L53" s="58"/>
      <c r="M53" s="58"/>
      <c r="N53" s="58"/>
      <c r="O53" s="58"/>
      <c r="P53" s="58"/>
      <c r="Q53" s="58"/>
      <c r="R53" s="58"/>
      <c r="S53" s="58"/>
      <c r="T53" s="58"/>
      <c r="U53" s="58"/>
      <c r="V53" s="58"/>
      <c r="W53" s="58"/>
      <c r="X53" s="58"/>
      <c r="Y53" s="58"/>
      <c r="Z53" s="58"/>
      <c r="AA53" s="58"/>
      <c r="AB53" s="58"/>
    </row>
    <row r="54" spans="4:28" ht="13.5" customHeight="1" x14ac:dyDescent="0.2">
      <c r="D54" s="58"/>
      <c r="E54" s="58"/>
      <c r="F54" s="58"/>
      <c r="G54" s="58"/>
      <c r="H54" s="58"/>
      <c r="I54" s="58"/>
      <c r="J54" s="58"/>
      <c r="K54" s="58"/>
      <c r="L54" s="58"/>
      <c r="M54" s="58"/>
      <c r="N54" s="58"/>
      <c r="O54" s="58"/>
      <c r="P54" s="58"/>
      <c r="Q54" s="58"/>
      <c r="R54" s="58"/>
      <c r="S54" s="58"/>
      <c r="T54" s="58"/>
      <c r="U54" s="58"/>
      <c r="V54" s="58"/>
      <c r="W54" s="58"/>
      <c r="X54" s="58"/>
      <c r="Y54" s="58"/>
      <c r="Z54" s="58"/>
      <c r="AA54" s="58"/>
      <c r="AB54" s="58"/>
    </row>
    <row r="55" spans="4:28" ht="13.5" customHeight="1" x14ac:dyDescent="0.2">
      <c r="D55" s="58"/>
      <c r="E55" s="58"/>
      <c r="F55" s="58"/>
      <c r="G55" s="58"/>
      <c r="H55" s="58"/>
      <c r="I55" s="58"/>
      <c r="J55" s="58"/>
      <c r="K55" s="58"/>
      <c r="L55" s="58"/>
      <c r="M55" s="58"/>
      <c r="N55" s="58"/>
      <c r="O55" s="58"/>
      <c r="P55" s="58"/>
      <c r="Q55" s="58"/>
      <c r="R55" s="58"/>
      <c r="S55" s="58"/>
      <c r="T55" s="58"/>
      <c r="U55" s="58"/>
      <c r="V55" s="58"/>
      <c r="W55" s="58"/>
      <c r="X55" s="58"/>
      <c r="Y55" s="58"/>
      <c r="Z55" s="58"/>
      <c r="AA55" s="58"/>
      <c r="AB55" s="58"/>
    </row>
    <row r="56" spans="4:28" ht="13.5" customHeight="1" x14ac:dyDescent="0.2">
      <c r="D56" s="58"/>
      <c r="E56" s="58"/>
      <c r="F56" s="58"/>
      <c r="G56" s="58"/>
      <c r="H56" s="58"/>
      <c r="I56" s="58"/>
      <c r="J56" s="58"/>
      <c r="K56" s="58"/>
      <c r="L56" s="58"/>
      <c r="M56" s="58"/>
      <c r="N56" s="58"/>
      <c r="O56" s="58"/>
      <c r="P56" s="58"/>
      <c r="Q56" s="58"/>
      <c r="R56" s="58"/>
      <c r="S56" s="58"/>
      <c r="T56" s="58"/>
      <c r="U56" s="58"/>
      <c r="V56" s="58"/>
      <c r="W56" s="58"/>
      <c r="X56" s="58"/>
      <c r="Y56" s="58"/>
      <c r="Z56" s="58"/>
      <c r="AA56" s="58"/>
      <c r="AB56" s="58"/>
    </row>
    <row r="57" spans="4:28" ht="13.5" customHeight="1" x14ac:dyDescent="0.2">
      <c r="D57" s="58"/>
      <c r="E57" s="58"/>
      <c r="F57" s="58"/>
      <c r="G57" s="58"/>
      <c r="H57" s="58"/>
      <c r="I57" s="58"/>
      <c r="J57" s="58"/>
      <c r="K57" s="58"/>
      <c r="L57" s="58"/>
      <c r="M57" s="58"/>
      <c r="N57" s="58"/>
      <c r="O57" s="58"/>
      <c r="P57" s="58"/>
      <c r="Q57" s="58"/>
      <c r="R57" s="58"/>
      <c r="S57" s="58"/>
      <c r="T57" s="58"/>
      <c r="U57" s="58"/>
      <c r="V57" s="58"/>
      <c r="W57" s="58"/>
      <c r="X57" s="58"/>
      <c r="Y57" s="58"/>
      <c r="Z57" s="58"/>
      <c r="AA57" s="58"/>
      <c r="AB57" s="58"/>
    </row>
    <row r="58" spans="4:28" ht="13.5" customHeight="1" x14ac:dyDescent="0.2">
      <c r="D58" s="58"/>
      <c r="E58" s="58"/>
      <c r="F58" s="58"/>
      <c r="G58" s="58"/>
      <c r="H58" s="58"/>
      <c r="I58" s="58"/>
      <c r="J58" s="58"/>
      <c r="K58" s="58"/>
      <c r="L58" s="58"/>
      <c r="M58" s="58"/>
      <c r="N58" s="58"/>
      <c r="O58" s="58"/>
      <c r="P58" s="58"/>
      <c r="Q58" s="58"/>
      <c r="R58" s="58"/>
      <c r="S58" s="58"/>
      <c r="T58" s="58"/>
      <c r="U58" s="58"/>
      <c r="V58" s="58"/>
      <c r="W58" s="58"/>
      <c r="X58" s="58"/>
      <c r="Y58" s="58"/>
      <c r="Z58" s="58"/>
      <c r="AA58" s="58"/>
      <c r="AB58" s="58"/>
    </row>
    <row r="59" spans="4:28" ht="13.5" customHeight="1" x14ac:dyDescent="0.2">
      <c r="D59" s="58"/>
      <c r="E59" s="58"/>
      <c r="F59" s="58"/>
      <c r="G59" s="58"/>
      <c r="H59" s="58"/>
      <c r="I59" s="58"/>
      <c r="J59" s="58"/>
      <c r="K59" s="58"/>
      <c r="L59" s="58"/>
      <c r="M59" s="58"/>
      <c r="N59" s="58"/>
      <c r="O59" s="58"/>
      <c r="P59" s="58"/>
      <c r="Q59" s="58"/>
      <c r="R59" s="58"/>
      <c r="S59" s="58"/>
      <c r="T59" s="58"/>
      <c r="U59" s="58"/>
      <c r="V59" s="58"/>
      <c r="W59" s="58"/>
      <c r="X59" s="58"/>
      <c r="Y59" s="58"/>
      <c r="Z59" s="58"/>
      <c r="AA59" s="58"/>
      <c r="AB59" s="58"/>
    </row>
    <row r="60" spans="4:28" ht="13.5" customHeight="1" x14ac:dyDescent="0.2">
      <c r="D60" s="58"/>
      <c r="E60" s="58"/>
      <c r="F60" s="58"/>
      <c r="G60" s="58"/>
      <c r="H60" s="58"/>
      <c r="I60" s="58"/>
      <c r="J60" s="58"/>
      <c r="K60" s="58"/>
      <c r="L60" s="58"/>
      <c r="M60" s="58"/>
      <c r="N60" s="58"/>
      <c r="O60" s="58"/>
      <c r="P60" s="58"/>
      <c r="Q60" s="58"/>
      <c r="R60" s="58"/>
      <c r="S60" s="58"/>
      <c r="T60" s="58"/>
      <c r="U60" s="58"/>
      <c r="V60" s="58"/>
      <c r="W60" s="58"/>
      <c r="X60" s="58"/>
      <c r="Y60" s="58"/>
      <c r="Z60" s="58"/>
      <c r="AA60" s="58"/>
      <c r="AB60" s="58"/>
    </row>
    <row r="61" spans="4:28" ht="13.5" customHeight="1" x14ac:dyDescent="0.2">
      <c r="D61" s="58"/>
      <c r="E61" s="58"/>
      <c r="F61" s="58"/>
      <c r="G61" s="58"/>
      <c r="H61" s="58"/>
      <c r="I61" s="58"/>
      <c r="J61" s="58"/>
      <c r="K61" s="58"/>
      <c r="L61" s="58"/>
      <c r="M61" s="58"/>
      <c r="N61" s="58"/>
      <c r="O61" s="58"/>
      <c r="P61" s="58"/>
      <c r="Q61" s="58"/>
      <c r="R61" s="58"/>
      <c r="S61" s="58"/>
      <c r="T61" s="58"/>
      <c r="U61" s="58"/>
      <c r="V61" s="58"/>
      <c r="W61" s="58"/>
      <c r="X61" s="58"/>
      <c r="Y61" s="58"/>
      <c r="Z61" s="58"/>
      <c r="AA61" s="58"/>
      <c r="AB61" s="58"/>
    </row>
    <row r="62" spans="4:28" ht="13.5" customHeight="1" x14ac:dyDescent="0.2">
      <c r="D62" s="58"/>
      <c r="E62" s="58"/>
      <c r="F62" s="58"/>
      <c r="G62" s="58"/>
      <c r="H62" s="58"/>
      <c r="I62" s="58"/>
      <c r="J62" s="58"/>
      <c r="K62" s="58"/>
      <c r="L62" s="58"/>
      <c r="M62" s="58"/>
      <c r="N62" s="58"/>
      <c r="O62" s="58"/>
      <c r="P62" s="58"/>
      <c r="Q62" s="58"/>
      <c r="R62" s="58"/>
      <c r="S62" s="58"/>
      <c r="T62" s="58"/>
      <c r="U62" s="58"/>
      <c r="V62" s="58"/>
      <c r="W62" s="58"/>
      <c r="X62" s="58"/>
      <c r="Y62" s="58"/>
      <c r="Z62" s="58"/>
      <c r="AA62" s="58"/>
      <c r="AB62" s="58"/>
    </row>
    <row r="63" spans="4:28" ht="13.5" customHeight="1" x14ac:dyDescent="0.2">
      <c r="D63" s="58"/>
      <c r="E63" s="58"/>
      <c r="F63" s="58"/>
      <c r="G63" s="58"/>
      <c r="H63" s="58"/>
      <c r="I63" s="58"/>
      <c r="J63" s="58"/>
      <c r="K63" s="58"/>
      <c r="L63" s="58"/>
      <c r="M63" s="58"/>
      <c r="N63" s="58"/>
      <c r="O63" s="58"/>
      <c r="P63" s="58"/>
      <c r="Q63" s="58"/>
      <c r="R63" s="58"/>
      <c r="S63" s="58"/>
      <c r="T63" s="58"/>
      <c r="U63" s="58"/>
      <c r="V63" s="58"/>
      <c r="W63" s="58"/>
      <c r="X63" s="58"/>
      <c r="Y63" s="58"/>
      <c r="Z63" s="58"/>
      <c r="AA63" s="58"/>
      <c r="AB63" s="58"/>
    </row>
    <row r="64" spans="4:28" ht="13.5" customHeight="1" x14ac:dyDescent="0.2">
      <c r="D64" s="58"/>
      <c r="E64" s="58"/>
      <c r="F64" s="58"/>
      <c r="G64" s="58"/>
      <c r="H64" s="58"/>
      <c r="I64" s="58"/>
      <c r="J64" s="58"/>
      <c r="K64" s="58"/>
      <c r="L64" s="58"/>
      <c r="M64" s="58"/>
      <c r="N64" s="58"/>
      <c r="O64" s="58"/>
      <c r="P64" s="58"/>
      <c r="Q64" s="58"/>
      <c r="R64" s="58"/>
      <c r="S64" s="58"/>
      <c r="T64" s="58"/>
      <c r="U64" s="58"/>
      <c r="V64" s="58"/>
      <c r="W64" s="58"/>
      <c r="X64" s="58"/>
      <c r="Y64" s="58"/>
      <c r="Z64" s="58"/>
      <c r="AA64" s="58"/>
      <c r="AB64" s="58"/>
    </row>
    <row r="65" spans="4:28" ht="13.5" customHeight="1" x14ac:dyDescent="0.2">
      <c r="D65" s="58"/>
      <c r="E65" s="58"/>
      <c r="F65" s="58"/>
      <c r="G65" s="58"/>
      <c r="H65" s="58"/>
      <c r="I65" s="58"/>
      <c r="J65" s="58"/>
      <c r="K65" s="58"/>
      <c r="L65" s="58"/>
      <c r="M65" s="58"/>
      <c r="N65" s="58"/>
      <c r="O65" s="58"/>
      <c r="P65" s="58"/>
      <c r="Q65" s="58"/>
      <c r="R65" s="58"/>
      <c r="S65" s="58"/>
      <c r="T65" s="58"/>
      <c r="U65" s="58"/>
      <c r="V65" s="58"/>
      <c r="W65" s="58"/>
      <c r="X65" s="58"/>
      <c r="Y65" s="58"/>
      <c r="Z65" s="58"/>
      <c r="AA65" s="58"/>
      <c r="AB65" s="58"/>
    </row>
    <row r="66" spans="4:28" ht="13.5" customHeight="1" x14ac:dyDescent="0.2">
      <c r="D66" s="58"/>
      <c r="E66" s="58"/>
      <c r="F66" s="58"/>
      <c r="G66" s="58"/>
      <c r="H66" s="58"/>
      <c r="I66" s="58"/>
      <c r="J66" s="58"/>
      <c r="K66" s="58"/>
      <c r="L66" s="58"/>
      <c r="M66" s="58"/>
      <c r="N66" s="58"/>
      <c r="O66" s="58"/>
      <c r="P66" s="58"/>
      <c r="Q66" s="58"/>
      <c r="R66" s="58"/>
      <c r="S66" s="58"/>
      <c r="T66" s="58"/>
      <c r="U66" s="58"/>
      <c r="V66" s="58"/>
      <c r="W66" s="58"/>
      <c r="X66" s="58"/>
      <c r="Y66" s="58"/>
      <c r="Z66" s="58"/>
      <c r="AA66" s="58"/>
      <c r="AB66" s="58"/>
    </row>
    <row r="67" spans="4:28" ht="13.5" customHeight="1" x14ac:dyDescent="0.2">
      <c r="D67" s="58"/>
      <c r="E67" s="58"/>
      <c r="F67" s="58"/>
      <c r="G67" s="58"/>
      <c r="H67" s="58"/>
      <c r="I67" s="58"/>
      <c r="J67" s="58"/>
      <c r="K67" s="58"/>
      <c r="L67" s="58"/>
      <c r="M67" s="58"/>
      <c r="N67" s="58"/>
      <c r="O67" s="58"/>
      <c r="P67" s="58"/>
      <c r="Q67" s="58"/>
      <c r="R67" s="58"/>
      <c r="S67" s="58"/>
      <c r="T67" s="58"/>
      <c r="U67" s="58"/>
      <c r="V67" s="58"/>
      <c r="W67" s="58"/>
      <c r="X67" s="58"/>
      <c r="Y67" s="58"/>
      <c r="Z67" s="58"/>
      <c r="AA67" s="58"/>
      <c r="AB67" s="58"/>
    </row>
    <row r="68" spans="4:28" ht="13.5" customHeight="1" x14ac:dyDescent="0.2">
      <c r="D68" s="58"/>
      <c r="E68" s="58"/>
      <c r="F68" s="58"/>
      <c r="G68" s="58"/>
      <c r="H68" s="58"/>
      <c r="I68" s="58"/>
      <c r="J68" s="58"/>
      <c r="K68" s="58"/>
      <c r="L68" s="58"/>
      <c r="M68" s="58"/>
      <c r="N68" s="58"/>
      <c r="O68" s="58"/>
      <c r="P68" s="58"/>
      <c r="Q68" s="58"/>
      <c r="R68" s="58"/>
      <c r="S68" s="58"/>
      <c r="T68" s="58"/>
      <c r="U68" s="58"/>
      <c r="V68" s="58"/>
      <c r="W68" s="58"/>
      <c r="X68" s="58"/>
      <c r="Y68" s="58"/>
      <c r="Z68" s="58"/>
      <c r="AA68" s="58"/>
      <c r="AB68" s="58"/>
    </row>
    <row r="69" spans="4:28" ht="13.5" customHeight="1" x14ac:dyDescent="0.2">
      <c r="D69" s="58"/>
      <c r="E69" s="58"/>
      <c r="F69" s="58"/>
      <c r="G69" s="58"/>
      <c r="H69" s="58"/>
      <c r="I69" s="58"/>
      <c r="J69" s="58"/>
      <c r="K69" s="58"/>
      <c r="L69" s="58"/>
      <c r="M69" s="58"/>
      <c r="N69" s="58"/>
      <c r="O69" s="58"/>
      <c r="P69" s="58"/>
      <c r="Q69" s="58"/>
      <c r="R69" s="58"/>
      <c r="S69" s="58"/>
      <c r="T69" s="58"/>
      <c r="U69" s="58"/>
      <c r="V69" s="58"/>
      <c r="W69" s="58"/>
      <c r="X69" s="58"/>
      <c r="Y69" s="58"/>
      <c r="Z69" s="58"/>
      <c r="AA69" s="58"/>
      <c r="AB69" s="58"/>
    </row>
    <row r="70" spans="4:28" ht="13.5" customHeight="1" x14ac:dyDescent="0.2">
      <c r="D70" s="58"/>
      <c r="E70" s="58"/>
      <c r="F70" s="58"/>
      <c r="G70" s="58"/>
      <c r="H70" s="58"/>
      <c r="I70" s="58"/>
      <c r="J70" s="58"/>
      <c r="K70" s="58"/>
      <c r="L70" s="58"/>
      <c r="M70" s="58"/>
      <c r="N70" s="58"/>
      <c r="O70" s="58"/>
      <c r="P70" s="58"/>
      <c r="Q70" s="58"/>
      <c r="R70" s="58"/>
      <c r="S70" s="58"/>
      <c r="T70" s="58"/>
      <c r="U70" s="58"/>
      <c r="V70" s="58"/>
      <c r="W70" s="58"/>
      <c r="X70" s="58"/>
      <c r="Y70" s="58"/>
      <c r="Z70" s="58"/>
      <c r="AA70" s="58"/>
      <c r="AB70" s="58"/>
    </row>
    <row r="71" spans="4:28" ht="13.5" customHeight="1" x14ac:dyDescent="0.2">
      <c r="D71" s="58"/>
      <c r="E71" s="58"/>
      <c r="F71" s="58"/>
      <c r="G71" s="58"/>
      <c r="H71" s="58"/>
      <c r="I71" s="58"/>
      <c r="J71" s="58"/>
      <c r="K71" s="58"/>
      <c r="L71" s="58"/>
      <c r="M71" s="58"/>
      <c r="N71" s="58"/>
      <c r="O71" s="58"/>
      <c r="P71" s="58"/>
      <c r="Q71" s="58"/>
      <c r="R71" s="58"/>
      <c r="S71" s="58"/>
      <c r="T71" s="58"/>
      <c r="U71" s="58"/>
      <c r="V71" s="58"/>
      <c r="W71" s="58"/>
      <c r="X71" s="58"/>
      <c r="Y71" s="58"/>
      <c r="Z71" s="58"/>
      <c r="AA71" s="58"/>
      <c r="AB71" s="58"/>
    </row>
    <row r="72" spans="4:28" ht="13.5" customHeight="1" x14ac:dyDescent="0.2">
      <c r="D72" s="58"/>
      <c r="E72" s="58"/>
      <c r="F72" s="58"/>
      <c r="G72" s="58"/>
      <c r="H72" s="58"/>
      <c r="I72" s="58"/>
      <c r="J72" s="58"/>
      <c r="K72" s="58"/>
      <c r="L72" s="58"/>
      <c r="M72" s="58"/>
      <c r="N72" s="58"/>
      <c r="O72" s="58"/>
      <c r="P72" s="58"/>
      <c r="Q72" s="58"/>
      <c r="R72" s="58"/>
      <c r="S72" s="58"/>
      <c r="T72" s="58"/>
      <c r="U72" s="58"/>
      <c r="V72" s="58"/>
      <c r="W72" s="58"/>
      <c r="X72" s="58"/>
      <c r="Y72" s="58"/>
      <c r="Z72" s="58"/>
      <c r="AA72" s="58"/>
      <c r="AB72" s="58"/>
    </row>
    <row r="73" spans="4:28" ht="13.5" customHeight="1" x14ac:dyDescent="0.2">
      <c r="D73" s="58"/>
      <c r="E73" s="58"/>
      <c r="F73" s="58"/>
      <c r="G73" s="58"/>
      <c r="H73" s="58"/>
      <c r="I73" s="58"/>
      <c r="J73" s="58"/>
      <c r="K73" s="58"/>
      <c r="L73" s="58"/>
      <c r="M73" s="58"/>
      <c r="N73" s="58"/>
      <c r="O73" s="58"/>
      <c r="P73" s="58"/>
      <c r="Q73" s="58"/>
      <c r="R73" s="58"/>
      <c r="S73" s="58"/>
      <c r="T73" s="58"/>
      <c r="U73" s="58"/>
      <c r="V73" s="58"/>
      <c r="W73" s="58"/>
      <c r="X73" s="58"/>
      <c r="Y73" s="58"/>
      <c r="Z73" s="58"/>
      <c r="AA73" s="58"/>
      <c r="AB73" s="58"/>
    </row>
    <row r="74" spans="4:28" ht="13.5" customHeight="1" x14ac:dyDescent="0.2">
      <c r="D74" s="58"/>
      <c r="E74" s="58"/>
      <c r="F74" s="58"/>
      <c r="G74" s="58"/>
      <c r="H74" s="58"/>
      <c r="I74" s="58"/>
      <c r="J74" s="58"/>
      <c r="K74" s="58"/>
      <c r="L74" s="58"/>
      <c r="M74" s="58"/>
      <c r="N74" s="58"/>
      <c r="O74" s="58"/>
      <c r="P74" s="58"/>
      <c r="Q74" s="58"/>
      <c r="R74" s="58"/>
      <c r="S74" s="58"/>
      <c r="T74" s="58"/>
      <c r="U74" s="58"/>
      <c r="V74" s="58"/>
      <c r="W74" s="58"/>
      <c r="X74" s="58"/>
      <c r="Y74" s="58"/>
      <c r="Z74" s="58"/>
      <c r="AA74" s="58"/>
      <c r="AB74" s="58"/>
    </row>
    <row r="75" spans="4:28" ht="13.5" customHeight="1" x14ac:dyDescent="0.2">
      <c r="D75" s="58"/>
      <c r="E75" s="58"/>
      <c r="F75" s="58"/>
      <c r="G75" s="58"/>
      <c r="H75" s="58"/>
      <c r="I75" s="58"/>
      <c r="J75" s="58"/>
      <c r="K75" s="58"/>
      <c r="L75" s="58"/>
      <c r="M75" s="58"/>
      <c r="N75" s="58"/>
      <c r="O75" s="58"/>
      <c r="P75" s="58"/>
      <c r="Q75" s="58"/>
      <c r="R75" s="58"/>
      <c r="S75" s="58"/>
      <c r="T75" s="58"/>
      <c r="U75" s="58"/>
      <c r="V75" s="58"/>
      <c r="W75" s="58"/>
      <c r="X75" s="58"/>
      <c r="Y75" s="58"/>
      <c r="Z75" s="58"/>
      <c r="AA75" s="58"/>
      <c r="AB75" s="58"/>
    </row>
    <row r="76" spans="4:28" ht="13.5" customHeight="1" x14ac:dyDescent="0.2">
      <c r="D76" s="58"/>
      <c r="E76" s="58"/>
      <c r="F76" s="58"/>
      <c r="G76" s="58"/>
      <c r="H76" s="58"/>
      <c r="I76" s="58"/>
      <c r="J76" s="58"/>
      <c r="K76" s="58"/>
      <c r="L76" s="58"/>
      <c r="M76" s="58"/>
      <c r="N76" s="58"/>
      <c r="O76" s="58"/>
      <c r="P76" s="58"/>
      <c r="Q76" s="58"/>
      <c r="R76" s="58"/>
      <c r="S76" s="58"/>
      <c r="T76" s="58"/>
      <c r="U76" s="58"/>
      <c r="V76" s="58"/>
      <c r="W76" s="58"/>
      <c r="X76" s="58"/>
      <c r="Y76" s="58"/>
      <c r="Z76" s="58"/>
      <c r="AA76" s="58"/>
      <c r="AB76" s="58"/>
    </row>
    <row r="77" spans="4:28" ht="13.5" customHeight="1" x14ac:dyDescent="0.2">
      <c r="D77" s="58"/>
      <c r="E77" s="58"/>
      <c r="F77" s="58"/>
      <c r="G77" s="58"/>
      <c r="H77" s="58"/>
      <c r="I77" s="58"/>
      <c r="J77" s="58"/>
      <c r="K77" s="58"/>
      <c r="L77" s="58"/>
      <c r="M77" s="58"/>
      <c r="N77" s="58"/>
      <c r="O77" s="58"/>
      <c r="P77" s="58"/>
      <c r="Q77" s="58"/>
      <c r="R77" s="58"/>
      <c r="S77" s="58"/>
      <c r="T77" s="58"/>
      <c r="U77" s="58"/>
      <c r="V77" s="58"/>
      <c r="W77" s="58"/>
      <c r="X77" s="58"/>
      <c r="Y77" s="58"/>
      <c r="Z77" s="58"/>
      <c r="AA77" s="58"/>
      <c r="AB77" s="58"/>
    </row>
    <row r="78" spans="4:28" ht="13.5" customHeight="1" x14ac:dyDescent="0.2">
      <c r="D78" s="58"/>
      <c r="E78" s="58"/>
      <c r="F78" s="58"/>
      <c r="G78" s="58"/>
      <c r="H78" s="58"/>
      <c r="I78" s="58"/>
      <c r="J78" s="58"/>
      <c r="K78" s="58"/>
      <c r="L78" s="58"/>
      <c r="M78" s="58"/>
      <c r="N78" s="58"/>
      <c r="O78" s="58"/>
      <c r="P78" s="58"/>
      <c r="Q78" s="58"/>
      <c r="R78" s="58"/>
      <c r="S78" s="58"/>
      <c r="T78" s="58"/>
      <c r="U78" s="58"/>
      <c r="V78" s="58"/>
      <c r="W78" s="58"/>
      <c r="X78" s="58"/>
      <c r="Y78" s="58"/>
      <c r="Z78" s="58"/>
      <c r="AA78" s="58"/>
      <c r="AB78" s="58"/>
    </row>
    <row r="79" spans="4:28" ht="13.5" customHeight="1" x14ac:dyDescent="0.2">
      <c r="D79" s="58"/>
      <c r="E79" s="58"/>
      <c r="F79" s="58"/>
      <c r="G79" s="58"/>
      <c r="H79" s="58"/>
      <c r="I79" s="58"/>
      <c r="J79" s="58"/>
      <c r="K79" s="58"/>
      <c r="L79" s="58"/>
      <c r="M79" s="58"/>
      <c r="N79" s="58"/>
      <c r="O79" s="58"/>
      <c r="P79" s="58"/>
      <c r="Q79" s="58"/>
      <c r="R79" s="58"/>
      <c r="S79" s="58"/>
      <c r="T79" s="58"/>
      <c r="U79" s="58"/>
      <c r="V79" s="58"/>
      <c r="W79" s="58"/>
      <c r="X79" s="58"/>
      <c r="Y79" s="58"/>
      <c r="Z79" s="58"/>
      <c r="AA79" s="58"/>
      <c r="AB79" s="58"/>
    </row>
    <row r="80" spans="4:28" ht="13.5" customHeight="1" x14ac:dyDescent="0.2">
      <c r="D80" s="58"/>
      <c r="E80" s="58"/>
      <c r="F80" s="58"/>
      <c r="G80" s="58"/>
      <c r="H80" s="58"/>
      <c r="I80" s="58"/>
      <c r="J80" s="58"/>
      <c r="K80" s="58"/>
      <c r="L80" s="58"/>
      <c r="M80" s="58"/>
      <c r="N80" s="58"/>
      <c r="O80" s="58"/>
      <c r="P80" s="58"/>
      <c r="Q80" s="58"/>
      <c r="R80" s="58"/>
      <c r="S80" s="58"/>
      <c r="T80" s="58"/>
      <c r="U80" s="58"/>
      <c r="V80" s="58"/>
      <c r="W80" s="58"/>
      <c r="X80" s="58"/>
      <c r="Y80" s="58"/>
      <c r="Z80" s="58"/>
      <c r="AA80" s="58"/>
      <c r="AB80" s="58"/>
    </row>
    <row r="81" spans="4:28" ht="13.5" customHeight="1" x14ac:dyDescent="0.2">
      <c r="D81" s="58"/>
      <c r="E81" s="58"/>
      <c r="F81" s="58"/>
      <c r="G81" s="58"/>
      <c r="H81" s="58"/>
      <c r="I81" s="58"/>
      <c r="J81" s="58"/>
      <c r="K81" s="58"/>
      <c r="L81" s="58"/>
      <c r="M81" s="58"/>
      <c r="N81" s="58"/>
      <c r="O81" s="58"/>
      <c r="P81" s="58"/>
      <c r="Q81" s="58"/>
      <c r="R81" s="58"/>
      <c r="S81" s="58"/>
      <c r="T81" s="58"/>
      <c r="U81" s="58"/>
      <c r="V81" s="58"/>
      <c r="W81" s="58"/>
      <c r="X81" s="58"/>
      <c r="Y81" s="58"/>
      <c r="Z81" s="58"/>
      <c r="AA81" s="58"/>
      <c r="AB81" s="58"/>
    </row>
    <row r="82" spans="4:28" ht="13.5" customHeight="1" x14ac:dyDescent="0.2">
      <c r="D82" s="58"/>
      <c r="E82" s="58"/>
      <c r="F82" s="58"/>
      <c r="G82" s="58"/>
      <c r="H82" s="58"/>
      <c r="I82" s="58"/>
      <c r="J82" s="58"/>
      <c r="K82" s="58"/>
      <c r="L82" s="58"/>
      <c r="M82" s="58"/>
      <c r="N82" s="58"/>
      <c r="O82" s="58"/>
      <c r="P82" s="58"/>
      <c r="Q82" s="58"/>
      <c r="R82" s="58"/>
      <c r="S82" s="58"/>
      <c r="T82" s="58"/>
      <c r="U82" s="58"/>
      <c r="V82" s="58"/>
      <c r="W82" s="58"/>
      <c r="X82" s="58"/>
      <c r="Y82" s="58"/>
      <c r="Z82" s="58"/>
      <c r="AA82" s="58"/>
      <c r="AB82" s="58"/>
    </row>
    <row r="83" spans="4:28" ht="13.5" customHeight="1" x14ac:dyDescent="0.2">
      <c r="D83" s="58"/>
      <c r="E83" s="58"/>
      <c r="F83" s="58"/>
      <c r="G83" s="58"/>
      <c r="H83" s="58"/>
      <c r="I83" s="58"/>
      <c r="J83" s="58"/>
      <c r="K83" s="58"/>
      <c r="L83" s="58"/>
      <c r="M83" s="58"/>
      <c r="N83" s="58"/>
      <c r="O83" s="58"/>
      <c r="P83" s="58"/>
      <c r="Q83" s="58"/>
      <c r="R83" s="58"/>
      <c r="S83" s="58"/>
      <c r="T83" s="58"/>
      <c r="U83" s="58"/>
      <c r="V83" s="58"/>
      <c r="W83" s="58"/>
      <c r="X83" s="58"/>
      <c r="Y83" s="58"/>
      <c r="Z83" s="58"/>
      <c r="AA83" s="58"/>
      <c r="AB83" s="58"/>
    </row>
    <row r="84" spans="4:28" ht="13.5" customHeight="1" x14ac:dyDescent="0.2">
      <c r="D84" s="58"/>
      <c r="E84" s="58"/>
      <c r="F84" s="58"/>
      <c r="G84" s="58"/>
      <c r="H84" s="58"/>
      <c r="I84" s="58"/>
      <c r="J84" s="58"/>
      <c r="K84" s="58"/>
      <c r="L84" s="58"/>
      <c r="M84" s="58"/>
      <c r="N84" s="58"/>
      <c r="O84" s="58"/>
      <c r="P84" s="58"/>
      <c r="Q84" s="58"/>
      <c r="R84" s="58"/>
      <c r="S84" s="58"/>
      <c r="T84" s="58"/>
      <c r="U84" s="58"/>
      <c r="V84" s="58"/>
      <c r="W84" s="58"/>
      <c r="X84" s="58"/>
      <c r="Y84" s="58"/>
      <c r="Z84" s="58"/>
      <c r="AA84" s="58"/>
      <c r="AB84" s="58"/>
    </row>
    <row r="85" spans="4:28" ht="13.5" customHeight="1" x14ac:dyDescent="0.2"/>
    <row r="86" spans="4:28" ht="13.5" customHeight="1" x14ac:dyDescent="0.2"/>
    <row r="87" spans="4:28" ht="13.5" customHeight="1" x14ac:dyDescent="0.2"/>
    <row r="88" spans="4:28" ht="13.5" customHeight="1" x14ac:dyDescent="0.2"/>
    <row r="89" spans="4:28" ht="13.5" customHeight="1" x14ac:dyDescent="0.2"/>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584</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491</v>
      </c>
      <c r="D4" s="99" t="s">
        <v>492</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273</v>
      </c>
      <c r="L6" s="80"/>
      <c r="M6" s="80"/>
      <c r="N6" s="19"/>
      <c r="O6" s="20" t="s">
        <v>20</v>
      </c>
      <c r="P6" s="80" t="s">
        <v>469</v>
      </c>
      <c r="Q6" s="80"/>
      <c r="R6" s="21"/>
      <c r="S6" s="20" t="s">
        <v>22</v>
      </c>
      <c r="T6" s="80" t="s">
        <v>470</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471</v>
      </c>
      <c r="D11" s="73"/>
      <c r="E11" s="73"/>
      <c r="F11" s="73"/>
      <c r="G11" s="73"/>
      <c r="H11" s="73"/>
      <c r="I11" s="73" t="s">
        <v>493</v>
      </c>
      <c r="J11" s="73"/>
      <c r="K11" s="73"/>
      <c r="L11" s="73" t="s">
        <v>494</v>
      </c>
      <c r="M11" s="73"/>
      <c r="N11" s="73"/>
      <c r="O11" s="73"/>
      <c r="P11" s="27" t="s">
        <v>48</v>
      </c>
      <c r="Q11" s="27" t="s">
        <v>43</v>
      </c>
      <c r="R11" s="27">
        <v>6.91</v>
      </c>
      <c r="S11" s="27" t="s">
        <v>44</v>
      </c>
      <c r="T11" s="27" t="s">
        <v>44</v>
      </c>
      <c r="U11" s="28" t="str">
        <f>IF(ISERR(T11/S11*100),"N/A",T11/S11*100)</f>
        <v>N/A</v>
      </c>
    </row>
    <row r="12" spans="1:34" ht="75" customHeight="1" thickBot="1" x14ac:dyDescent="0.25">
      <c r="A12" s="25"/>
      <c r="B12" s="29" t="s">
        <v>45</v>
      </c>
      <c r="C12" s="72" t="s">
        <v>45</v>
      </c>
      <c r="D12" s="72"/>
      <c r="E12" s="72"/>
      <c r="F12" s="72"/>
      <c r="G12" s="72"/>
      <c r="H12" s="72"/>
      <c r="I12" s="72" t="s">
        <v>474</v>
      </c>
      <c r="J12" s="72"/>
      <c r="K12" s="72"/>
      <c r="L12" s="72" t="s">
        <v>475</v>
      </c>
      <c r="M12" s="72"/>
      <c r="N12" s="72"/>
      <c r="O12" s="72"/>
      <c r="P12" s="30" t="s">
        <v>476</v>
      </c>
      <c r="Q12" s="30" t="s">
        <v>43</v>
      </c>
      <c r="R12" s="31">
        <v>65</v>
      </c>
      <c r="S12" s="31" t="s">
        <v>44</v>
      </c>
      <c r="T12" s="31" t="s">
        <v>44</v>
      </c>
      <c r="U12" s="32" t="str">
        <f>IF(ISERR(T12/S12*100),"N/A",T12/S12*100)</f>
        <v>N/A</v>
      </c>
    </row>
    <row r="13" spans="1:34" ht="75" customHeight="1" thickTop="1" thickBot="1" x14ac:dyDescent="0.25">
      <c r="A13" s="25"/>
      <c r="B13" s="26" t="s">
        <v>62</v>
      </c>
      <c r="C13" s="73" t="s">
        <v>495</v>
      </c>
      <c r="D13" s="73"/>
      <c r="E13" s="73"/>
      <c r="F13" s="73"/>
      <c r="G13" s="73"/>
      <c r="H13" s="73"/>
      <c r="I13" s="73" t="s">
        <v>496</v>
      </c>
      <c r="J13" s="73"/>
      <c r="K13" s="73"/>
      <c r="L13" s="73" t="s">
        <v>497</v>
      </c>
      <c r="M13" s="73"/>
      <c r="N13" s="73"/>
      <c r="O13" s="73"/>
      <c r="P13" s="27" t="s">
        <v>48</v>
      </c>
      <c r="Q13" s="27" t="s">
        <v>43</v>
      </c>
      <c r="R13" s="27">
        <v>99</v>
      </c>
      <c r="S13" s="27" t="s">
        <v>44</v>
      </c>
      <c r="T13" s="27" t="s">
        <v>44</v>
      </c>
      <c r="U13" s="28" t="str">
        <f>IF(ISERR(T13/S13*100),"N/A",T13/S13*100)</f>
        <v>N/A</v>
      </c>
    </row>
    <row r="14" spans="1:34" ht="75" customHeight="1" thickTop="1" thickBot="1" x14ac:dyDescent="0.25">
      <c r="A14" s="25"/>
      <c r="B14" s="26" t="s">
        <v>71</v>
      </c>
      <c r="C14" s="73" t="s">
        <v>498</v>
      </c>
      <c r="D14" s="73"/>
      <c r="E14" s="73"/>
      <c r="F14" s="73"/>
      <c r="G14" s="73"/>
      <c r="H14" s="73"/>
      <c r="I14" s="73" t="s">
        <v>499</v>
      </c>
      <c r="J14" s="73"/>
      <c r="K14" s="73"/>
      <c r="L14" s="73" t="s">
        <v>482</v>
      </c>
      <c r="M14" s="73"/>
      <c r="N14" s="73"/>
      <c r="O14" s="73"/>
      <c r="P14" s="27" t="s">
        <v>48</v>
      </c>
      <c r="Q14" s="27" t="s">
        <v>75</v>
      </c>
      <c r="R14" s="27">
        <v>97</v>
      </c>
      <c r="S14" s="27">
        <v>97</v>
      </c>
      <c r="T14" s="27">
        <v>98.44</v>
      </c>
      <c r="U14" s="28">
        <f>IF(ISERR(T14/S14*100),"N/A",T14/S14*100)</f>
        <v>101.48453608247424</v>
      </c>
    </row>
    <row r="15" spans="1:34" ht="75" customHeight="1" thickTop="1" thickBot="1" x14ac:dyDescent="0.25">
      <c r="A15" s="25"/>
      <c r="B15" s="26" t="s">
        <v>87</v>
      </c>
      <c r="C15" s="73" t="s">
        <v>500</v>
      </c>
      <c r="D15" s="73"/>
      <c r="E15" s="73"/>
      <c r="F15" s="73"/>
      <c r="G15" s="73"/>
      <c r="H15" s="73"/>
      <c r="I15" s="73" t="s">
        <v>484</v>
      </c>
      <c r="J15" s="73"/>
      <c r="K15" s="73"/>
      <c r="L15" s="73" t="s">
        <v>485</v>
      </c>
      <c r="M15" s="73"/>
      <c r="N15" s="73"/>
      <c r="O15" s="73"/>
      <c r="P15" s="27" t="s">
        <v>48</v>
      </c>
      <c r="Q15" s="27" t="s">
        <v>291</v>
      </c>
      <c r="R15" s="27">
        <v>98</v>
      </c>
      <c r="S15" s="27">
        <v>98</v>
      </c>
      <c r="T15" s="27">
        <v>98.27</v>
      </c>
      <c r="U15" s="28">
        <f>IF(ISERR(T15/S15*100),"N/A",T15/S15*100)</f>
        <v>100.27551020408163</v>
      </c>
    </row>
    <row r="16" spans="1:34" ht="22.5" customHeight="1" thickTop="1" thickBot="1" x14ac:dyDescent="0.25">
      <c r="B16" s="8" t="s">
        <v>98</v>
      </c>
      <c r="C16" s="9"/>
      <c r="D16" s="9"/>
      <c r="E16" s="9"/>
      <c r="F16" s="9"/>
      <c r="G16" s="9"/>
      <c r="H16" s="10"/>
      <c r="I16" s="10"/>
      <c r="J16" s="10"/>
      <c r="K16" s="10"/>
      <c r="L16" s="10"/>
      <c r="M16" s="10"/>
      <c r="N16" s="10"/>
      <c r="O16" s="10"/>
      <c r="P16" s="10"/>
      <c r="Q16" s="10"/>
      <c r="R16" s="10"/>
      <c r="S16" s="10"/>
      <c r="T16" s="10"/>
      <c r="U16" s="11"/>
      <c r="V16" s="33"/>
    </row>
    <row r="17" spans="2:21" ht="26.25" customHeight="1" thickTop="1" x14ac:dyDescent="0.2">
      <c r="B17" s="34"/>
      <c r="C17" s="35"/>
      <c r="D17" s="35"/>
      <c r="E17" s="35"/>
      <c r="F17" s="35"/>
      <c r="G17" s="35"/>
      <c r="H17" s="36"/>
      <c r="I17" s="36"/>
      <c r="J17" s="36"/>
      <c r="K17" s="36"/>
      <c r="L17" s="36"/>
      <c r="M17" s="36"/>
      <c r="N17" s="36"/>
      <c r="O17" s="36"/>
      <c r="P17" s="37"/>
      <c r="Q17" s="38"/>
      <c r="R17" s="39" t="s">
        <v>99</v>
      </c>
      <c r="S17" s="22" t="s">
        <v>100</v>
      </c>
      <c r="T17" s="39" t="s">
        <v>101</v>
      </c>
      <c r="U17" s="22" t="s">
        <v>102</v>
      </c>
    </row>
    <row r="18" spans="2:21" ht="26.25" customHeight="1" thickBot="1" x14ac:dyDescent="0.25">
      <c r="B18" s="40"/>
      <c r="C18" s="41"/>
      <c r="D18" s="41"/>
      <c r="E18" s="41"/>
      <c r="F18" s="41"/>
      <c r="G18" s="41"/>
      <c r="H18" s="42"/>
      <c r="I18" s="42"/>
      <c r="J18" s="42"/>
      <c r="K18" s="42"/>
      <c r="L18" s="42"/>
      <c r="M18" s="42"/>
      <c r="N18" s="42"/>
      <c r="O18" s="42"/>
      <c r="P18" s="43"/>
      <c r="Q18" s="44"/>
      <c r="R18" s="45" t="s">
        <v>103</v>
      </c>
      <c r="S18" s="44" t="s">
        <v>103</v>
      </c>
      <c r="T18" s="44" t="s">
        <v>103</v>
      </c>
      <c r="U18" s="44" t="s">
        <v>104</v>
      </c>
    </row>
    <row r="19" spans="2:21" ht="13.5" customHeight="1" thickBot="1" x14ac:dyDescent="0.25">
      <c r="B19" s="65" t="s">
        <v>105</v>
      </c>
      <c r="C19" s="66"/>
      <c r="D19" s="66"/>
      <c r="E19" s="46"/>
      <c r="F19" s="46"/>
      <c r="G19" s="46"/>
      <c r="H19" s="47"/>
      <c r="I19" s="47"/>
      <c r="J19" s="47"/>
      <c r="K19" s="47"/>
      <c r="L19" s="47"/>
      <c r="M19" s="47"/>
      <c r="N19" s="47"/>
      <c r="O19" s="47"/>
      <c r="P19" s="48"/>
      <c r="Q19" s="48"/>
      <c r="R19" s="49">
        <f>15433.538091</f>
        <v>15433.538091</v>
      </c>
      <c r="S19" s="49">
        <f>11323.974589</f>
        <v>11323.974588999999</v>
      </c>
      <c r="T19" s="49">
        <f>12461.6339131</f>
        <v>12461.6339131</v>
      </c>
      <c r="U19" s="50">
        <f>+IF(ISERR(T19/S19*100),"N/A",T19/S19*100)</f>
        <v>110.046466593144</v>
      </c>
    </row>
    <row r="20" spans="2:21" ht="13.5" customHeight="1" thickBot="1" x14ac:dyDescent="0.25">
      <c r="B20" s="67" t="s">
        <v>106</v>
      </c>
      <c r="C20" s="68"/>
      <c r="D20" s="68"/>
      <c r="E20" s="51"/>
      <c r="F20" s="51"/>
      <c r="G20" s="51"/>
      <c r="H20" s="52"/>
      <c r="I20" s="52"/>
      <c r="J20" s="52"/>
      <c r="K20" s="52"/>
      <c r="L20" s="52"/>
      <c r="M20" s="52"/>
      <c r="N20" s="52"/>
      <c r="O20" s="52"/>
      <c r="P20" s="53"/>
      <c r="Q20" s="53"/>
      <c r="R20" s="49">
        <f>15700.611767</f>
        <v>15700.611767</v>
      </c>
      <c r="S20" s="49">
        <f>11928.555446</f>
        <v>11928.555446</v>
      </c>
      <c r="T20" s="49">
        <f>12461.6339131</f>
        <v>12461.6339131</v>
      </c>
      <c r="U20" s="50">
        <f>+IF(ISERR(T20/S20*100),"N/A",T20/S20*100)</f>
        <v>104.46892726879815</v>
      </c>
    </row>
    <row r="21" spans="2:21" ht="14.85" customHeight="1" thickTop="1" thickBot="1" x14ac:dyDescent="0.25">
      <c r="B21" s="8" t="s">
        <v>107</v>
      </c>
      <c r="C21" s="9"/>
      <c r="D21" s="9"/>
      <c r="E21" s="9"/>
      <c r="F21" s="9"/>
      <c r="G21" s="9"/>
      <c r="H21" s="10"/>
      <c r="I21" s="10"/>
      <c r="J21" s="10"/>
      <c r="K21" s="10"/>
      <c r="L21" s="10"/>
      <c r="M21" s="10"/>
      <c r="N21" s="10"/>
      <c r="O21" s="10"/>
      <c r="P21" s="10"/>
      <c r="Q21" s="10"/>
      <c r="R21" s="10"/>
      <c r="S21" s="10"/>
      <c r="T21" s="10"/>
      <c r="U21" s="11"/>
    </row>
    <row r="22" spans="2:21" ht="44.25" customHeight="1" thickTop="1" x14ac:dyDescent="0.2">
      <c r="B22" s="69" t="s">
        <v>108</v>
      </c>
      <c r="C22" s="70"/>
      <c r="D22" s="70"/>
      <c r="E22" s="70"/>
      <c r="F22" s="70"/>
      <c r="G22" s="70"/>
      <c r="H22" s="70"/>
      <c r="I22" s="70"/>
      <c r="J22" s="70"/>
      <c r="K22" s="70"/>
      <c r="L22" s="70"/>
      <c r="M22" s="70"/>
      <c r="N22" s="70"/>
      <c r="O22" s="70"/>
      <c r="P22" s="70"/>
      <c r="Q22" s="70"/>
      <c r="R22" s="70"/>
      <c r="S22" s="70"/>
      <c r="T22" s="70"/>
      <c r="U22" s="71"/>
    </row>
    <row r="23" spans="2:21" ht="34.5" customHeight="1" x14ac:dyDescent="0.2">
      <c r="B23" s="59" t="s">
        <v>501</v>
      </c>
      <c r="C23" s="60"/>
      <c r="D23" s="60"/>
      <c r="E23" s="60"/>
      <c r="F23" s="60"/>
      <c r="G23" s="60"/>
      <c r="H23" s="60"/>
      <c r="I23" s="60"/>
      <c r="J23" s="60"/>
      <c r="K23" s="60"/>
      <c r="L23" s="60"/>
      <c r="M23" s="60"/>
      <c r="N23" s="60"/>
      <c r="O23" s="60"/>
      <c r="P23" s="60"/>
      <c r="Q23" s="60"/>
      <c r="R23" s="60"/>
      <c r="S23" s="60"/>
      <c r="T23" s="60"/>
      <c r="U23" s="61"/>
    </row>
    <row r="24" spans="2:21" ht="34.5" customHeight="1" x14ac:dyDescent="0.2">
      <c r="B24" s="59" t="s">
        <v>487</v>
      </c>
      <c r="C24" s="60"/>
      <c r="D24" s="60"/>
      <c r="E24" s="60"/>
      <c r="F24" s="60"/>
      <c r="G24" s="60"/>
      <c r="H24" s="60"/>
      <c r="I24" s="60"/>
      <c r="J24" s="60"/>
      <c r="K24" s="60"/>
      <c r="L24" s="60"/>
      <c r="M24" s="60"/>
      <c r="N24" s="60"/>
      <c r="O24" s="60"/>
      <c r="P24" s="60"/>
      <c r="Q24" s="60"/>
      <c r="R24" s="60"/>
      <c r="S24" s="60"/>
      <c r="T24" s="60"/>
      <c r="U24" s="61"/>
    </row>
    <row r="25" spans="2:21" ht="34.5" customHeight="1" x14ac:dyDescent="0.2">
      <c r="B25" s="59" t="s">
        <v>502</v>
      </c>
      <c r="C25" s="60"/>
      <c r="D25" s="60"/>
      <c r="E25" s="60"/>
      <c r="F25" s="60"/>
      <c r="G25" s="60"/>
      <c r="H25" s="60"/>
      <c r="I25" s="60"/>
      <c r="J25" s="60"/>
      <c r="K25" s="60"/>
      <c r="L25" s="60"/>
      <c r="M25" s="60"/>
      <c r="N25" s="60"/>
      <c r="O25" s="60"/>
      <c r="P25" s="60"/>
      <c r="Q25" s="60"/>
      <c r="R25" s="60"/>
      <c r="S25" s="60"/>
      <c r="T25" s="60"/>
      <c r="U25" s="61"/>
    </row>
    <row r="26" spans="2:21" ht="33.6" customHeight="1" x14ac:dyDescent="0.2">
      <c r="B26" s="59" t="s">
        <v>503</v>
      </c>
      <c r="C26" s="60"/>
      <c r="D26" s="60"/>
      <c r="E26" s="60"/>
      <c r="F26" s="60"/>
      <c r="G26" s="60"/>
      <c r="H26" s="60"/>
      <c r="I26" s="60"/>
      <c r="J26" s="60"/>
      <c r="K26" s="60"/>
      <c r="L26" s="60"/>
      <c r="M26" s="60"/>
      <c r="N26" s="60"/>
      <c r="O26" s="60"/>
      <c r="P26" s="60"/>
      <c r="Q26" s="60"/>
      <c r="R26" s="60"/>
      <c r="S26" s="60"/>
      <c r="T26" s="60"/>
      <c r="U26" s="61"/>
    </row>
    <row r="27" spans="2:21" ht="24.6" customHeight="1" thickBot="1" x14ac:dyDescent="0.25">
      <c r="B27" s="62" t="s">
        <v>504</v>
      </c>
      <c r="C27" s="63"/>
      <c r="D27" s="63"/>
      <c r="E27" s="63"/>
      <c r="F27" s="63"/>
      <c r="G27" s="63"/>
      <c r="H27" s="63"/>
      <c r="I27" s="63"/>
      <c r="J27" s="63"/>
      <c r="K27" s="63"/>
      <c r="L27" s="63"/>
      <c r="M27" s="63"/>
      <c r="N27" s="63"/>
      <c r="O27" s="63"/>
      <c r="P27" s="63"/>
      <c r="Q27" s="63"/>
      <c r="R27" s="63"/>
      <c r="S27" s="63"/>
      <c r="T27" s="63"/>
      <c r="U27" s="64"/>
    </row>
  </sheetData>
  <mergeCells count="4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6:U26"/>
    <mergeCell ref="B27:U27"/>
    <mergeCell ref="B19:D19"/>
    <mergeCell ref="B20:D20"/>
    <mergeCell ref="B22:U22"/>
    <mergeCell ref="B23:U23"/>
    <mergeCell ref="B24:U24"/>
    <mergeCell ref="B25:U2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584</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505</v>
      </c>
      <c r="D4" s="99" t="s">
        <v>506</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273</v>
      </c>
      <c r="L6" s="80"/>
      <c r="M6" s="80"/>
      <c r="N6" s="19"/>
      <c r="O6" s="20" t="s">
        <v>20</v>
      </c>
      <c r="P6" s="80" t="s">
        <v>507</v>
      </c>
      <c r="Q6" s="80"/>
      <c r="R6" s="21"/>
      <c r="S6" s="20" t="s">
        <v>22</v>
      </c>
      <c r="T6" s="80" t="s">
        <v>470</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508</v>
      </c>
      <c r="D11" s="73"/>
      <c r="E11" s="73"/>
      <c r="F11" s="73"/>
      <c r="G11" s="73"/>
      <c r="H11" s="73"/>
      <c r="I11" s="73" t="s">
        <v>509</v>
      </c>
      <c r="J11" s="73"/>
      <c r="K11" s="73"/>
      <c r="L11" s="73" t="s">
        <v>510</v>
      </c>
      <c r="M11" s="73"/>
      <c r="N11" s="73"/>
      <c r="O11" s="73"/>
      <c r="P11" s="27" t="s">
        <v>476</v>
      </c>
      <c r="Q11" s="27" t="s">
        <v>43</v>
      </c>
      <c r="R11" s="54">
        <v>40</v>
      </c>
      <c r="S11" s="54" t="s">
        <v>44</v>
      </c>
      <c r="T11" s="54" t="s">
        <v>44</v>
      </c>
      <c r="U11" s="28" t="str">
        <f>IF(ISERR(T11/S11*100),"N/A",T11/S11*100)</f>
        <v>N/A</v>
      </c>
    </row>
    <row r="12" spans="1:34" ht="75" customHeight="1" thickBot="1" x14ac:dyDescent="0.25">
      <c r="A12" s="25"/>
      <c r="B12" s="29" t="s">
        <v>45</v>
      </c>
      <c r="C12" s="72" t="s">
        <v>45</v>
      </c>
      <c r="D12" s="72"/>
      <c r="E12" s="72"/>
      <c r="F12" s="72"/>
      <c r="G12" s="72"/>
      <c r="H12" s="72"/>
      <c r="I12" s="72" t="s">
        <v>511</v>
      </c>
      <c r="J12" s="72"/>
      <c r="K12" s="72"/>
      <c r="L12" s="72" t="s">
        <v>512</v>
      </c>
      <c r="M12" s="72"/>
      <c r="N12" s="72"/>
      <c r="O12" s="72"/>
      <c r="P12" s="30" t="s">
        <v>48</v>
      </c>
      <c r="Q12" s="30" t="s">
        <v>43</v>
      </c>
      <c r="R12" s="30">
        <v>0.81</v>
      </c>
      <c r="S12" s="30" t="s">
        <v>44</v>
      </c>
      <c r="T12" s="30" t="s">
        <v>44</v>
      </c>
      <c r="U12" s="32" t="str">
        <f>IF(ISERR((S12-T12)*100/S12+100),"N/A",(S12-T12)*100/S12+100)</f>
        <v>N/A</v>
      </c>
    </row>
    <row r="13" spans="1:34" ht="75" customHeight="1" thickTop="1" thickBot="1" x14ac:dyDescent="0.25">
      <c r="A13" s="25"/>
      <c r="B13" s="26" t="s">
        <v>62</v>
      </c>
      <c r="C13" s="73" t="s">
        <v>513</v>
      </c>
      <c r="D13" s="73"/>
      <c r="E13" s="73"/>
      <c r="F13" s="73"/>
      <c r="G13" s="73"/>
      <c r="H13" s="73"/>
      <c r="I13" s="73" t="s">
        <v>514</v>
      </c>
      <c r="J13" s="73"/>
      <c r="K13" s="73"/>
      <c r="L13" s="73" t="s">
        <v>515</v>
      </c>
      <c r="M13" s="73"/>
      <c r="N13" s="73"/>
      <c r="O13" s="73"/>
      <c r="P13" s="27" t="s">
        <v>48</v>
      </c>
      <c r="Q13" s="27" t="s">
        <v>43</v>
      </c>
      <c r="R13" s="27">
        <v>96</v>
      </c>
      <c r="S13" s="27" t="s">
        <v>44</v>
      </c>
      <c r="T13" s="27" t="s">
        <v>44</v>
      </c>
      <c r="U13" s="28" t="str">
        <f>IF(ISERR(T13/S13*100),"N/A",T13/S13*100)</f>
        <v>N/A</v>
      </c>
    </row>
    <row r="14" spans="1:34" ht="75" customHeight="1" thickTop="1" thickBot="1" x14ac:dyDescent="0.25">
      <c r="A14" s="25"/>
      <c r="B14" s="26" t="s">
        <v>71</v>
      </c>
      <c r="C14" s="73" t="s">
        <v>516</v>
      </c>
      <c r="D14" s="73"/>
      <c r="E14" s="73"/>
      <c r="F14" s="73"/>
      <c r="G14" s="73"/>
      <c r="H14" s="73"/>
      <c r="I14" s="73" t="s">
        <v>517</v>
      </c>
      <c r="J14" s="73"/>
      <c r="K14" s="73"/>
      <c r="L14" s="73" t="s">
        <v>518</v>
      </c>
      <c r="M14" s="73"/>
      <c r="N14" s="73"/>
      <c r="O14" s="73"/>
      <c r="P14" s="27" t="s">
        <v>48</v>
      </c>
      <c r="Q14" s="27" t="s">
        <v>75</v>
      </c>
      <c r="R14" s="27">
        <v>99</v>
      </c>
      <c r="S14" s="27">
        <v>99</v>
      </c>
      <c r="T14" s="27">
        <v>99.48</v>
      </c>
      <c r="U14" s="28">
        <f>IF(ISERR(T14/S14*100),"N/A",T14/S14*100)</f>
        <v>100.48484848484848</v>
      </c>
    </row>
    <row r="15" spans="1:34" ht="75" customHeight="1" thickTop="1" thickBot="1" x14ac:dyDescent="0.25">
      <c r="A15" s="25"/>
      <c r="B15" s="26" t="s">
        <v>87</v>
      </c>
      <c r="C15" s="73" t="s">
        <v>519</v>
      </c>
      <c r="D15" s="73"/>
      <c r="E15" s="73"/>
      <c r="F15" s="73"/>
      <c r="G15" s="73"/>
      <c r="H15" s="73"/>
      <c r="I15" s="73" t="s">
        <v>520</v>
      </c>
      <c r="J15" s="73"/>
      <c r="K15" s="73"/>
      <c r="L15" s="73" t="s">
        <v>521</v>
      </c>
      <c r="M15" s="73"/>
      <c r="N15" s="73"/>
      <c r="O15" s="73"/>
      <c r="P15" s="27" t="s">
        <v>522</v>
      </c>
      <c r="Q15" s="27" t="s">
        <v>523</v>
      </c>
      <c r="R15" s="54">
        <v>5742721</v>
      </c>
      <c r="S15" s="54">
        <v>4307080</v>
      </c>
      <c r="T15" s="54">
        <v>4427820</v>
      </c>
      <c r="U15" s="28">
        <f>IF(ISERR(T15/S15*100),"N/A",T15/S15*100)</f>
        <v>102.80329132498119</v>
      </c>
    </row>
    <row r="16" spans="1:34" ht="22.5" customHeight="1" thickTop="1" thickBot="1" x14ac:dyDescent="0.25">
      <c r="B16" s="8" t="s">
        <v>98</v>
      </c>
      <c r="C16" s="9"/>
      <c r="D16" s="9"/>
      <c r="E16" s="9"/>
      <c r="F16" s="9"/>
      <c r="G16" s="9"/>
      <c r="H16" s="10"/>
      <c r="I16" s="10"/>
      <c r="J16" s="10"/>
      <c r="K16" s="10"/>
      <c r="L16" s="10"/>
      <c r="M16" s="10"/>
      <c r="N16" s="10"/>
      <c r="O16" s="10"/>
      <c r="P16" s="10"/>
      <c r="Q16" s="10"/>
      <c r="R16" s="10"/>
      <c r="S16" s="10"/>
      <c r="T16" s="10"/>
      <c r="U16" s="11"/>
      <c r="V16" s="33"/>
    </row>
    <row r="17" spans="2:21" ht="26.25" customHeight="1" thickTop="1" x14ac:dyDescent="0.2">
      <c r="B17" s="34"/>
      <c r="C17" s="35"/>
      <c r="D17" s="35"/>
      <c r="E17" s="35"/>
      <c r="F17" s="35"/>
      <c r="G17" s="35"/>
      <c r="H17" s="36"/>
      <c r="I17" s="36"/>
      <c r="J17" s="36"/>
      <c r="K17" s="36"/>
      <c r="L17" s="36"/>
      <c r="M17" s="36"/>
      <c r="N17" s="36"/>
      <c r="O17" s="36"/>
      <c r="P17" s="37"/>
      <c r="Q17" s="38"/>
      <c r="R17" s="39" t="s">
        <v>99</v>
      </c>
      <c r="S17" s="22" t="s">
        <v>100</v>
      </c>
      <c r="T17" s="39" t="s">
        <v>101</v>
      </c>
      <c r="U17" s="22" t="s">
        <v>102</v>
      </c>
    </row>
    <row r="18" spans="2:21" ht="26.25" customHeight="1" thickBot="1" x14ac:dyDescent="0.25">
      <c r="B18" s="40"/>
      <c r="C18" s="41"/>
      <c r="D18" s="41"/>
      <c r="E18" s="41"/>
      <c r="F18" s="41"/>
      <c r="G18" s="41"/>
      <c r="H18" s="42"/>
      <c r="I18" s="42"/>
      <c r="J18" s="42"/>
      <c r="K18" s="42"/>
      <c r="L18" s="42"/>
      <c r="M18" s="42"/>
      <c r="N18" s="42"/>
      <c r="O18" s="42"/>
      <c r="P18" s="43"/>
      <c r="Q18" s="44"/>
      <c r="R18" s="45" t="s">
        <v>103</v>
      </c>
      <c r="S18" s="44" t="s">
        <v>103</v>
      </c>
      <c r="T18" s="44" t="s">
        <v>103</v>
      </c>
      <c r="U18" s="44" t="s">
        <v>104</v>
      </c>
    </row>
    <row r="19" spans="2:21" ht="13.5" customHeight="1" thickBot="1" x14ac:dyDescent="0.25">
      <c r="B19" s="65" t="s">
        <v>105</v>
      </c>
      <c r="C19" s="66"/>
      <c r="D19" s="66"/>
      <c r="E19" s="46"/>
      <c r="F19" s="46"/>
      <c r="G19" s="46"/>
      <c r="H19" s="47"/>
      <c r="I19" s="47"/>
      <c r="J19" s="47"/>
      <c r="K19" s="47"/>
      <c r="L19" s="47"/>
      <c r="M19" s="47"/>
      <c r="N19" s="47"/>
      <c r="O19" s="47"/>
      <c r="P19" s="48"/>
      <c r="Q19" s="48"/>
      <c r="R19" s="49">
        <f>17063.372467</f>
        <v>17063.372467000001</v>
      </c>
      <c r="S19" s="49">
        <f>12790.505921</f>
        <v>12790.505921</v>
      </c>
      <c r="T19" s="49">
        <f>13231.11968704</f>
        <v>13231.11968704</v>
      </c>
      <c r="U19" s="50">
        <f>+IF(ISERR(T19/S19*100),"N/A",T19/S19*100)</f>
        <v>103.44485017841696</v>
      </c>
    </row>
    <row r="20" spans="2:21" ht="13.5" customHeight="1" thickBot="1" x14ac:dyDescent="0.25">
      <c r="B20" s="67" t="s">
        <v>106</v>
      </c>
      <c r="C20" s="68"/>
      <c r="D20" s="68"/>
      <c r="E20" s="51"/>
      <c r="F20" s="51"/>
      <c r="G20" s="51"/>
      <c r="H20" s="52"/>
      <c r="I20" s="52"/>
      <c r="J20" s="52"/>
      <c r="K20" s="52"/>
      <c r="L20" s="52"/>
      <c r="M20" s="52"/>
      <c r="N20" s="52"/>
      <c r="O20" s="52"/>
      <c r="P20" s="53"/>
      <c r="Q20" s="53"/>
      <c r="R20" s="49">
        <f>17286.934018</f>
        <v>17286.934018</v>
      </c>
      <c r="S20" s="49">
        <f>12998.167214</f>
        <v>12998.167213999999</v>
      </c>
      <c r="T20" s="49">
        <f>13231.11968704</f>
        <v>13231.11968704</v>
      </c>
      <c r="U20" s="50">
        <f>+IF(ISERR(T20/S20*100),"N/A",T20/S20*100)</f>
        <v>101.79219477026803</v>
      </c>
    </row>
    <row r="21" spans="2:21" ht="14.85" customHeight="1" thickTop="1" thickBot="1" x14ac:dyDescent="0.25">
      <c r="B21" s="8" t="s">
        <v>107</v>
      </c>
      <c r="C21" s="9"/>
      <c r="D21" s="9"/>
      <c r="E21" s="9"/>
      <c r="F21" s="9"/>
      <c r="G21" s="9"/>
      <c r="H21" s="10"/>
      <c r="I21" s="10"/>
      <c r="J21" s="10"/>
      <c r="K21" s="10"/>
      <c r="L21" s="10"/>
      <c r="M21" s="10"/>
      <c r="N21" s="10"/>
      <c r="O21" s="10"/>
      <c r="P21" s="10"/>
      <c r="Q21" s="10"/>
      <c r="R21" s="10"/>
      <c r="S21" s="10"/>
      <c r="T21" s="10"/>
      <c r="U21" s="11"/>
    </row>
    <row r="22" spans="2:21" ht="44.25" customHeight="1" thickTop="1" x14ac:dyDescent="0.2">
      <c r="B22" s="69" t="s">
        <v>108</v>
      </c>
      <c r="C22" s="70"/>
      <c r="D22" s="70"/>
      <c r="E22" s="70"/>
      <c r="F22" s="70"/>
      <c r="G22" s="70"/>
      <c r="H22" s="70"/>
      <c r="I22" s="70"/>
      <c r="J22" s="70"/>
      <c r="K22" s="70"/>
      <c r="L22" s="70"/>
      <c r="M22" s="70"/>
      <c r="N22" s="70"/>
      <c r="O22" s="70"/>
      <c r="P22" s="70"/>
      <c r="Q22" s="70"/>
      <c r="R22" s="70"/>
      <c r="S22" s="70"/>
      <c r="T22" s="70"/>
      <c r="U22" s="71"/>
    </row>
    <row r="23" spans="2:21" ht="34.5" customHeight="1" x14ac:dyDescent="0.2">
      <c r="B23" s="59" t="s">
        <v>524</v>
      </c>
      <c r="C23" s="60"/>
      <c r="D23" s="60"/>
      <c r="E23" s="60"/>
      <c r="F23" s="60"/>
      <c r="G23" s="60"/>
      <c r="H23" s="60"/>
      <c r="I23" s="60"/>
      <c r="J23" s="60"/>
      <c r="K23" s="60"/>
      <c r="L23" s="60"/>
      <c r="M23" s="60"/>
      <c r="N23" s="60"/>
      <c r="O23" s="60"/>
      <c r="P23" s="60"/>
      <c r="Q23" s="60"/>
      <c r="R23" s="60"/>
      <c r="S23" s="60"/>
      <c r="T23" s="60"/>
      <c r="U23" s="61"/>
    </row>
    <row r="24" spans="2:21" ht="34.5" customHeight="1" x14ac:dyDescent="0.2">
      <c r="B24" s="59" t="s">
        <v>525</v>
      </c>
      <c r="C24" s="60"/>
      <c r="D24" s="60"/>
      <c r="E24" s="60"/>
      <c r="F24" s="60"/>
      <c r="G24" s="60"/>
      <c r="H24" s="60"/>
      <c r="I24" s="60"/>
      <c r="J24" s="60"/>
      <c r="K24" s="60"/>
      <c r="L24" s="60"/>
      <c r="M24" s="60"/>
      <c r="N24" s="60"/>
      <c r="O24" s="60"/>
      <c r="P24" s="60"/>
      <c r="Q24" s="60"/>
      <c r="R24" s="60"/>
      <c r="S24" s="60"/>
      <c r="T24" s="60"/>
      <c r="U24" s="61"/>
    </row>
    <row r="25" spans="2:21" ht="34.5" customHeight="1" x14ac:dyDescent="0.2">
      <c r="B25" s="59" t="s">
        <v>526</v>
      </c>
      <c r="C25" s="60"/>
      <c r="D25" s="60"/>
      <c r="E25" s="60"/>
      <c r="F25" s="60"/>
      <c r="G25" s="60"/>
      <c r="H25" s="60"/>
      <c r="I25" s="60"/>
      <c r="J25" s="60"/>
      <c r="K25" s="60"/>
      <c r="L25" s="60"/>
      <c r="M25" s="60"/>
      <c r="N25" s="60"/>
      <c r="O25" s="60"/>
      <c r="P25" s="60"/>
      <c r="Q25" s="60"/>
      <c r="R25" s="60"/>
      <c r="S25" s="60"/>
      <c r="T25" s="60"/>
      <c r="U25" s="61"/>
    </row>
    <row r="26" spans="2:21" ht="38.450000000000003" customHeight="1" x14ac:dyDescent="0.2">
      <c r="B26" s="59" t="s">
        <v>527</v>
      </c>
      <c r="C26" s="60"/>
      <c r="D26" s="60"/>
      <c r="E26" s="60"/>
      <c r="F26" s="60"/>
      <c r="G26" s="60"/>
      <c r="H26" s="60"/>
      <c r="I26" s="60"/>
      <c r="J26" s="60"/>
      <c r="K26" s="60"/>
      <c r="L26" s="60"/>
      <c r="M26" s="60"/>
      <c r="N26" s="60"/>
      <c r="O26" s="60"/>
      <c r="P26" s="60"/>
      <c r="Q26" s="60"/>
      <c r="R26" s="60"/>
      <c r="S26" s="60"/>
      <c r="T26" s="60"/>
      <c r="U26" s="61"/>
    </row>
    <row r="27" spans="2:21" ht="42.95" customHeight="1" thickBot="1" x14ac:dyDescent="0.25">
      <c r="B27" s="62" t="s">
        <v>528</v>
      </c>
      <c r="C27" s="63"/>
      <c r="D27" s="63"/>
      <c r="E27" s="63"/>
      <c r="F27" s="63"/>
      <c r="G27" s="63"/>
      <c r="H27" s="63"/>
      <c r="I27" s="63"/>
      <c r="J27" s="63"/>
      <c r="K27" s="63"/>
      <c r="L27" s="63"/>
      <c r="M27" s="63"/>
      <c r="N27" s="63"/>
      <c r="O27" s="63"/>
      <c r="P27" s="63"/>
      <c r="Q27" s="63"/>
      <c r="R27" s="63"/>
      <c r="S27" s="63"/>
      <c r="T27" s="63"/>
      <c r="U27" s="64"/>
    </row>
  </sheetData>
  <mergeCells count="4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6:U26"/>
    <mergeCell ref="B27:U27"/>
    <mergeCell ref="B19:D19"/>
    <mergeCell ref="B20:D20"/>
    <mergeCell ref="B22:U22"/>
    <mergeCell ref="B23:U23"/>
    <mergeCell ref="B24:U24"/>
    <mergeCell ref="B25:U2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584</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529</v>
      </c>
      <c r="D4" s="99" t="s">
        <v>530</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130</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531</v>
      </c>
      <c r="D11" s="73"/>
      <c r="E11" s="73"/>
      <c r="F11" s="73"/>
      <c r="G11" s="73"/>
      <c r="H11" s="73"/>
      <c r="I11" s="73" t="s">
        <v>532</v>
      </c>
      <c r="J11" s="73"/>
      <c r="K11" s="73"/>
      <c r="L11" s="73" t="s">
        <v>533</v>
      </c>
      <c r="M11" s="73"/>
      <c r="N11" s="73"/>
      <c r="O11" s="73"/>
      <c r="P11" s="27" t="s">
        <v>534</v>
      </c>
      <c r="Q11" s="27" t="s">
        <v>43</v>
      </c>
      <c r="R11" s="54">
        <v>146183</v>
      </c>
      <c r="S11" s="54" t="s">
        <v>44</v>
      </c>
      <c r="T11" s="54" t="s">
        <v>44</v>
      </c>
      <c r="U11" s="28" t="str">
        <f>IF(ISERR(T11/S11*100),"N/A",T11/S11*100)</f>
        <v>N/A</v>
      </c>
    </row>
    <row r="12" spans="1:34" ht="75" customHeight="1" thickBot="1" x14ac:dyDescent="0.25">
      <c r="A12" s="25"/>
      <c r="B12" s="29" t="s">
        <v>45</v>
      </c>
      <c r="C12" s="72" t="s">
        <v>45</v>
      </c>
      <c r="D12" s="72"/>
      <c r="E12" s="72"/>
      <c r="F12" s="72"/>
      <c r="G12" s="72"/>
      <c r="H12" s="72"/>
      <c r="I12" s="72" t="s">
        <v>535</v>
      </c>
      <c r="J12" s="72"/>
      <c r="K12" s="72"/>
      <c r="L12" s="72" t="s">
        <v>536</v>
      </c>
      <c r="M12" s="72"/>
      <c r="N12" s="72"/>
      <c r="O12" s="72"/>
      <c r="P12" s="30" t="s">
        <v>48</v>
      </c>
      <c r="Q12" s="30" t="s">
        <v>61</v>
      </c>
      <c r="R12" s="31">
        <v>85</v>
      </c>
      <c r="S12" s="31" t="s">
        <v>44</v>
      </c>
      <c r="T12" s="31" t="s">
        <v>44</v>
      </c>
      <c r="U12" s="32" t="str">
        <f>IF(ISERR(T12/S12*100),"N/A",T12/S12*100)</f>
        <v>N/A</v>
      </c>
    </row>
    <row r="13" spans="1:34" ht="75" customHeight="1" thickTop="1" thickBot="1" x14ac:dyDescent="0.25">
      <c r="A13" s="25"/>
      <c r="B13" s="26" t="s">
        <v>62</v>
      </c>
      <c r="C13" s="73" t="s">
        <v>537</v>
      </c>
      <c r="D13" s="73"/>
      <c r="E13" s="73"/>
      <c r="F13" s="73"/>
      <c r="G13" s="73"/>
      <c r="H13" s="73"/>
      <c r="I13" s="73" t="s">
        <v>538</v>
      </c>
      <c r="J13" s="73"/>
      <c r="K13" s="73"/>
      <c r="L13" s="73" t="s">
        <v>539</v>
      </c>
      <c r="M13" s="73"/>
      <c r="N13" s="73"/>
      <c r="O13" s="73"/>
      <c r="P13" s="27" t="s">
        <v>212</v>
      </c>
      <c r="Q13" s="27" t="s">
        <v>43</v>
      </c>
      <c r="R13" s="27">
        <v>21.95</v>
      </c>
      <c r="S13" s="27" t="s">
        <v>44</v>
      </c>
      <c r="T13" s="27" t="s">
        <v>44</v>
      </c>
      <c r="U13" s="28" t="str">
        <f>IF(ISERR(T13/S13*100),"N/A",T13/S13*100)</f>
        <v>N/A</v>
      </c>
    </row>
    <row r="14" spans="1:34" ht="75" customHeight="1" thickTop="1" thickBot="1" x14ac:dyDescent="0.25">
      <c r="A14" s="25"/>
      <c r="B14" s="26" t="s">
        <v>71</v>
      </c>
      <c r="C14" s="73" t="s">
        <v>540</v>
      </c>
      <c r="D14" s="73"/>
      <c r="E14" s="73"/>
      <c r="F14" s="73"/>
      <c r="G14" s="73"/>
      <c r="H14" s="73"/>
      <c r="I14" s="73" t="s">
        <v>541</v>
      </c>
      <c r="J14" s="73"/>
      <c r="K14" s="73"/>
      <c r="L14" s="73" t="s">
        <v>542</v>
      </c>
      <c r="M14" s="73"/>
      <c r="N14" s="73"/>
      <c r="O14" s="73"/>
      <c r="P14" s="27" t="s">
        <v>48</v>
      </c>
      <c r="Q14" s="27" t="s">
        <v>258</v>
      </c>
      <c r="R14" s="27">
        <v>100</v>
      </c>
      <c r="S14" s="27">
        <v>50</v>
      </c>
      <c r="T14" s="27">
        <v>50</v>
      </c>
      <c r="U14" s="28">
        <f>IF(ISERR(T14/S14*100),"N/A",T14/S14*100)</f>
        <v>100</v>
      </c>
    </row>
    <row r="15" spans="1:34" ht="75" customHeight="1" thickTop="1" thickBot="1" x14ac:dyDescent="0.25">
      <c r="A15" s="25"/>
      <c r="B15" s="26" t="s">
        <v>87</v>
      </c>
      <c r="C15" s="73" t="s">
        <v>543</v>
      </c>
      <c r="D15" s="73"/>
      <c r="E15" s="73"/>
      <c r="F15" s="73"/>
      <c r="G15" s="73"/>
      <c r="H15" s="73"/>
      <c r="I15" s="73" t="s">
        <v>544</v>
      </c>
      <c r="J15" s="73"/>
      <c r="K15" s="73"/>
      <c r="L15" s="73" t="s">
        <v>545</v>
      </c>
      <c r="M15" s="73"/>
      <c r="N15" s="73"/>
      <c r="O15" s="73"/>
      <c r="P15" s="27" t="s">
        <v>48</v>
      </c>
      <c r="Q15" s="27" t="s">
        <v>91</v>
      </c>
      <c r="R15" s="27">
        <v>100</v>
      </c>
      <c r="S15" s="27">
        <v>68.97</v>
      </c>
      <c r="T15" s="27">
        <v>68.97</v>
      </c>
      <c r="U15" s="28">
        <f>IF(ISERR(T15/S15*100),"N/A",T15/S15*100)</f>
        <v>100</v>
      </c>
    </row>
    <row r="16" spans="1:34" ht="22.5" customHeight="1" thickTop="1" thickBot="1" x14ac:dyDescent="0.25">
      <c r="B16" s="8" t="s">
        <v>98</v>
      </c>
      <c r="C16" s="9"/>
      <c r="D16" s="9"/>
      <c r="E16" s="9"/>
      <c r="F16" s="9"/>
      <c r="G16" s="9"/>
      <c r="H16" s="10"/>
      <c r="I16" s="10"/>
      <c r="J16" s="10"/>
      <c r="K16" s="10"/>
      <c r="L16" s="10"/>
      <c r="M16" s="10"/>
      <c r="N16" s="10"/>
      <c r="O16" s="10"/>
      <c r="P16" s="10"/>
      <c r="Q16" s="10"/>
      <c r="R16" s="10"/>
      <c r="S16" s="10"/>
      <c r="T16" s="10"/>
      <c r="U16" s="11"/>
      <c r="V16" s="33"/>
    </row>
    <row r="17" spans="2:21" ht="26.25" customHeight="1" thickTop="1" x14ac:dyDescent="0.2">
      <c r="B17" s="34"/>
      <c r="C17" s="35"/>
      <c r="D17" s="35"/>
      <c r="E17" s="35"/>
      <c r="F17" s="35"/>
      <c r="G17" s="35"/>
      <c r="H17" s="36"/>
      <c r="I17" s="36"/>
      <c r="J17" s="36"/>
      <c r="K17" s="36"/>
      <c r="L17" s="36"/>
      <c r="M17" s="36"/>
      <c r="N17" s="36"/>
      <c r="O17" s="36"/>
      <c r="P17" s="37"/>
      <c r="Q17" s="38"/>
      <c r="R17" s="39" t="s">
        <v>99</v>
      </c>
      <c r="S17" s="22" t="s">
        <v>100</v>
      </c>
      <c r="T17" s="39" t="s">
        <v>101</v>
      </c>
      <c r="U17" s="22" t="s">
        <v>102</v>
      </c>
    </row>
    <row r="18" spans="2:21" ht="26.25" customHeight="1" thickBot="1" x14ac:dyDescent="0.25">
      <c r="B18" s="40"/>
      <c r="C18" s="41"/>
      <c r="D18" s="41"/>
      <c r="E18" s="41"/>
      <c r="F18" s="41"/>
      <c r="G18" s="41"/>
      <c r="H18" s="42"/>
      <c r="I18" s="42"/>
      <c r="J18" s="42"/>
      <c r="K18" s="42"/>
      <c r="L18" s="42"/>
      <c r="M18" s="42"/>
      <c r="N18" s="42"/>
      <c r="O18" s="42"/>
      <c r="P18" s="43"/>
      <c r="Q18" s="44"/>
      <c r="R18" s="45" t="s">
        <v>103</v>
      </c>
      <c r="S18" s="44" t="s">
        <v>103</v>
      </c>
      <c r="T18" s="44" t="s">
        <v>103</v>
      </c>
      <c r="U18" s="44" t="s">
        <v>104</v>
      </c>
    </row>
    <row r="19" spans="2:21" ht="13.5" customHeight="1" thickBot="1" x14ac:dyDescent="0.25">
      <c r="B19" s="65" t="s">
        <v>105</v>
      </c>
      <c r="C19" s="66"/>
      <c r="D19" s="66"/>
      <c r="E19" s="46"/>
      <c r="F19" s="46"/>
      <c r="G19" s="46"/>
      <c r="H19" s="47"/>
      <c r="I19" s="47"/>
      <c r="J19" s="47"/>
      <c r="K19" s="47"/>
      <c r="L19" s="47"/>
      <c r="M19" s="47"/>
      <c r="N19" s="47"/>
      <c r="O19" s="47"/>
      <c r="P19" s="48"/>
      <c r="Q19" s="48"/>
      <c r="R19" s="49">
        <f>4954.872398</f>
        <v>4954.8723980000004</v>
      </c>
      <c r="S19" s="49">
        <f>3631.040851</f>
        <v>3631.0408510000002</v>
      </c>
      <c r="T19" s="49">
        <f>1776.92820138</f>
        <v>1776.92820138</v>
      </c>
      <c r="U19" s="50">
        <f>+IF(ISERR(T19/S19*100),"N/A",T19/S19*100)</f>
        <v>48.937158084867818</v>
      </c>
    </row>
    <row r="20" spans="2:21" ht="13.5" customHeight="1" thickBot="1" x14ac:dyDescent="0.25">
      <c r="B20" s="67" t="s">
        <v>106</v>
      </c>
      <c r="C20" s="68"/>
      <c r="D20" s="68"/>
      <c r="E20" s="51"/>
      <c r="F20" s="51"/>
      <c r="G20" s="51"/>
      <c r="H20" s="52"/>
      <c r="I20" s="52"/>
      <c r="J20" s="52"/>
      <c r="K20" s="52"/>
      <c r="L20" s="52"/>
      <c r="M20" s="52"/>
      <c r="N20" s="52"/>
      <c r="O20" s="52"/>
      <c r="P20" s="53"/>
      <c r="Q20" s="53"/>
      <c r="R20" s="49">
        <f>5992.42866897</f>
        <v>5992.4286689700002</v>
      </c>
      <c r="S20" s="49">
        <f>1937.01286316</f>
        <v>1937.0128631600001</v>
      </c>
      <c r="T20" s="49">
        <f>1776.92820138</f>
        <v>1776.92820138</v>
      </c>
      <c r="U20" s="50">
        <f>+IF(ISERR(T20/S20*100),"N/A",T20/S20*100)</f>
        <v>91.735487934817257</v>
      </c>
    </row>
    <row r="21" spans="2:21" ht="14.85" customHeight="1" thickTop="1" thickBot="1" x14ac:dyDescent="0.25">
      <c r="B21" s="8" t="s">
        <v>107</v>
      </c>
      <c r="C21" s="9"/>
      <c r="D21" s="9"/>
      <c r="E21" s="9"/>
      <c r="F21" s="9"/>
      <c r="G21" s="9"/>
      <c r="H21" s="10"/>
      <c r="I21" s="10"/>
      <c r="J21" s="10"/>
      <c r="K21" s="10"/>
      <c r="L21" s="10"/>
      <c r="M21" s="10"/>
      <c r="N21" s="10"/>
      <c r="O21" s="10"/>
      <c r="P21" s="10"/>
      <c r="Q21" s="10"/>
      <c r="R21" s="10"/>
      <c r="S21" s="10"/>
      <c r="T21" s="10"/>
      <c r="U21" s="11"/>
    </row>
    <row r="22" spans="2:21" ht="44.25" customHeight="1" thickTop="1" x14ac:dyDescent="0.2">
      <c r="B22" s="69" t="s">
        <v>108</v>
      </c>
      <c r="C22" s="70"/>
      <c r="D22" s="70"/>
      <c r="E22" s="70"/>
      <c r="F22" s="70"/>
      <c r="G22" s="70"/>
      <c r="H22" s="70"/>
      <c r="I22" s="70"/>
      <c r="J22" s="70"/>
      <c r="K22" s="70"/>
      <c r="L22" s="70"/>
      <c r="M22" s="70"/>
      <c r="N22" s="70"/>
      <c r="O22" s="70"/>
      <c r="P22" s="70"/>
      <c r="Q22" s="70"/>
      <c r="R22" s="70"/>
      <c r="S22" s="70"/>
      <c r="T22" s="70"/>
      <c r="U22" s="71"/>
    </row>
    <row r="23" spans="2:21" ht="34.5" customHeight="1" x14ac:dyDescent="0.2">
      <c r="B23" s="59" t="s">
        <v>546</v>
      </c>
      <c r="C23" s="60"/>
      <c r="D23" s="60"/>
      <c r="E23" s="60"/>
      <c r="F23" s="60"/>
      <c r="G23" s="60"/>
      <c r="H23" s="60"/>
      <c r="I23" s="60"/>
      <c r="J23" s="60"/>
      <c r="K23" s="60"/>
      <c r="L23" s="60"/>
      <c r="M23" s="60"/>
      <c r="N23" s="60"/>
      <c r="O23" s="60"/>
      <c r="P23" s="60"/>
      <c r="Q23" s="60"/>
      <c r="R23" s="60"/>
      <c r="S23" s="60"/>
      <c r="T23" s="60"/>
      <c r="U23" s="61"/>
    </row>
    <row r="24" spans="2:21" ht="34.5" customHeight="1" x14ac:dyDescent="0.2">
      <c r="B24" s="59" t="s">
        <v>547</v>
      </c>
      <c r="C24" s="60"/>
      <c r="D24" s="60"/>
      <c r="E24" s="60"/>
      <c r="F24" s="60"/>
      <c r="G24" s="60"/>
      <c r="H24" s="60"/>
      <c r="I24" s="60"/>
      <c r="J24" s="60"/>
      <c r="K24" s="60"/>
      <c r="L24" s="60"/>
      <c r="M24" s="60"/>
      <c r="N24" s="60"/>
      <c r="O24" s="60"/>
      <c r="P24" s="60"/>
      <c r="Q24" s="60"/>
      <c r="R24" s="60"/>
      <c r="S24" s="60"/>
      <c r="T24" s="60"/>
      <c r="U24" s="61"/>
    </row>
    <row r="25" spans="2:21" ht="34.5" customHeight="1" x14ac:dyDescent="0.2">
      <c r="B25" s="59" t="s">
        <v>548</v>
      </c>
      <c r="C25" s="60"/>
      <c r="D25" s="60"/>
      <c r="E25" s="60"/>
      <c r="F25" s="60"/>
      <c r="G25" s="60"/>
      <c r="H25" s="60"/>
      <c r="I25" s="60"/>
      <c r="J25" s="60"/>
      <c r="K25" s="60"/>
      <c r="L25" s="60"/>
      <c r="M25" s="60"/>
      <c r="N25" s="60"/>
      <c r="O25" s="60"/>
      <c r="P25" s="60"/>
      <c r="Q25" s="60"/>
      <c r="R25" s="60"/>
      <c r="S25" s="60"/>
      <c r="T25" s="60"/>
      <c r="U25" s="61"/>
    </row>
    <row r="26" spans="2:21" ht="34.5" customHeight="1" x14ac:dyDescent="0.2">
      <c r="B26" s="59" t="s">
        <v>549</v>
      </c>
      <c r="C26" s="60"/>
      <c r="D26" s="60"/>
      <c r="E26" s="60"/>
      <c r="F26" s="60"/>
      <c r="G26" s="60"/>
      <c r="H26" s="60"/>
      <c r="I26" s="60"/>
      <c r="J26" s="60"/>
      <c r="K26" s="60"/>
      <c r="L26" s="60"/>
      <c r="M26" s="60"/>
      <c r="N26" s="60"/>
      <c r="O26" s="60"/>
      <c r="P26" s="60"/>
      <c r="Q26" s="60"/>
      <c r="R26" s="60"/>
      <c r="S26" s="60"/>
      <c r="T26" s="60"/>
      <c r="U26" s="61"/>
    </row>
    <row r="27" spans="2:21" ht="34.5" customHeight="1" thickBot="1" x14ac:dyDescent="0.25">
      <c r="B27" s="62" t="s">
        <v>550</v>
      </c>
      <c r="C27" s="63"/>
      <c r="D27" s="63"/>
      <c r="E27" s="63"/>
      <c r="F27" s="63"/>
      <c r="G27" s="63"/>
      <c r="H27" s="63"/>
      <c r="I27" s="63"/>
      <c r="J27" s="63"/>
      <c r="K27" s="63"/>
      <c r="L27" s="63"/>
      <c r="M27" s="63"/>
      <c r="N27" s="63"/>
      <c r="O27" s="63"/>
      <c r="P27" s="63"/>
      <c r="Q27" s="63"/>
      <c r="R27" s="63"/>
      <c r="S27" s="63"/>
      <c r="T27" s="63"/>
      <c r="U27" s="64"/>
    </row>
  </sheetData>
  <mergeCells count="4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6:U26"/>
    <mergeCell ref="B27:U27"/>
    <mergeCell ref="B19:D19"/>
    <mergeCell ref="B20:D20"/>
    <mergeCell ref="B22:U22"/>
    <mergeCell ref="B23:U23"/>
    <mergeCell ref="B24:U24"/>
    <mergeCell ref="B25:U2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584</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551</v>
      </c>
      <c r="D4" s="99" t="s">
        <v>552</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130</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x14ac:dyDescent="0.25">
      <c r="A11" s="25"/>
      <c r="B11" s="26" t="s">
        <v>38</v>
      </c>
      <c r="C11" s="73" t="s">
        <v>553</v>
      </c>
      <c r="D11" s="73"/>
      <c r="E11" s="73"/>
      <c r="F11" s="73"/>
      <c r="G11" s="73"/>
      <c r="H11" s="73"/>
      <c r="I11" s="73" t="s">
        <v>535</v>
      </c>
      <c r="J11" s="73"/>
      <c r="K11" s="73"/>
      <c r="L11" s="73" t="s">
        <v>536</v>
      </c>
      <c r="M11" s="73"/>
      <c r="N11" s="73"/>
      <c r="O11" s="73"/>
      <c r="P11" s="27" t="s">
        <v>48</v>
      </c>
      <c r="Q11" s="27" t="s">
        <v>61</v>
      </c>
      <c r="R11" s="54">
        <v>85</v>
      </c>
      <c r="S11" s="54" t="s">
        <v>44</v>
      </c>
      <c r="T11" s="54" t="s">
        <v>44</v>
      </c>
      <c r="U11" s="28" t="str">
        <f t="shared" ref="U11:U19" si="0">IF(ISERR(T11/S11*100),"N/A",T11/S11*100)</f>
        <v>N/A</v>
      </c>
    </row>
    <row r="12" spans="1:34" ht="75" customHeight="1" thickTop="1" x14ac:dyDescent="0.2">
      <c r="A12" s="25"/>
      <c r="B12" s="26" t="s">
        <v>62</v>
      </c>
      <c r="C12" s="73" t="s">
        <v>554</v>
      </c>
      <c r="D12" s="73"/>
      <c r="E12" s="73"/>
      <c r="F12" s="73"/>
      <c r="G12" s="73"/>
      <c r="H12" s="73"/>
      <c r="I12" s="73" t="s">
        <v>555</v>
      </c>
      <c r="J12" s="73"/>
      <c r="K12" s="73"/>
      <c r="L12" s="73" t="s">
        <v>556</v>
      </c>
      <c r="M12" s="73"/>
      <c r="N12" s="73"/>
      <c r="O12" s="73"/>
      <c r="P12" s="27" t="s">
        <v>557</v>
      </c>
      <c r="Q12" s="27" t="s">
        <v>284</v>
      </c>
      <c r="R12" s="27">
        <v>18</v>
      </c>
      <c r="S12" s="27" t="s">
        <v>44</v>
      </c>
      <c r="T12" s="27" t="s">
        <v>44</v>
      </c>
      <c r="U12" s="28" t="str">
        <f t="shared" si="0"/>
        <v>N/A</v>
      </c>
    </row>
    <row r="13" spans="1:34" ht="75" customHeight="1" thickBot="1" x14ac:dyDescent="0.25">
      <c r="A13" s="25"/>
      <c r="B13" s="29" t="s">
        <v>45</v>
      </c>
      <c r="C13" s="72" t="s">
        <v>45</v>
      </c>
      <c r="D13" s="72"/>
      <c r="E13" s="72"/>
      <c r="F13" s="72"/>
      <c r="G13" s="72"/>
      <c r="H13" s="72"/>
      <c r="I13" s="72" t="s">
        <v>558</v>
      </c>
      <c r="J13" s="72"/>
      <c r="K13" s="72"/>
      <c r="L13" s="72" t="s">
        <v>559</v>
      </c>
      <c r="M13" s="72"/>
      <c r="N13" s="72"/>
      <c r="O13" s="72"/>
      <c r="P13" s="30" t="s">
        <v>48</v>
      </c>
      <c r="Q13" s="30" t="s">
        <v>43</v>
      </c>
      <c r="R13" s="30">
        <v>80.510000000000005</v>
      </c>
      <c r="S13" s="30" t="s">
        <v>44</v>
      </c>
      <c r="T13" s="30" t="s">
        <v>44</v>
      </c>
      <c r="U13" s="32" t="str">
        <f t="shared" si="0"/>
        <v>N/A</v>
      </c>
    </row>
    <row r="14" spans="1:34" ht="75" customHeight="1" thickTop="1" x14ac:dyDescent="0.2">
      <c r="A14" s="25"/>
      <c r="B14" s="26" t="s">
        <v>71</v>
      </c>
      <c r="C14" s="73" t="s">
        <v>560</v>
      </c>
      <c r="D14" s="73"/>
      <c r="E14" s="73"/>
      <c r="F14" s="73"/>
      <c r="G14" s="73"/>
      <c r="H14" s="73"/>
      <c r="I14" s="73" t="s">
        <v>561</v>
      </c>
      <c r="J14" s="73"/>
      <c r="K14" s="73"/>
      <c r="L14" s="73" t="s">
        <v>562</v>
      </c>
      <c r="M14" s="73"/>
      <c r="N14" s="73"/>
      <c r="O14" s="73"/>
      <c r="P14" s="27" t="s">
        <v>48</v>
      </c>
      <c r="Q14" s="27" t="s">
        <v>43</v>
      </c>
      <c r="R14" s="27">
        <v>90</v>
      </c>
      <c r="S14" s="27" t="s">
        <v>44</v>
      </c>
      <c r="T14" s="27" t="s">
        <v>44</v>
      </c>
      <c r="U14" s="28" t="str">
        <f t="shared" si="0"/>
        <v>N/A</v>
      </c>
    </row>
    <row r="15" spans="1:34" ht="75" customHeight="1" thickBot="1" x14ac:dyDescent="0.25">
      <c r="A15" s="25"/>
      <c r="B15" s="29" t="s">
        <v>45</v>
      </c>
      <c r="C15" s="72" t="s">
        <v>45</v>
      </c>
      <c r="D15" s="72"/>
      <c r="E15" s="72"/>
      <c r="F15" s="72"/>
      <c r="G15" s="72"/>
      <c r="H15" s="72"/>
      <c r="I15" s="72" t="s">
        <v>563</v>
      </c>
      <c r="J15" s="72"/>
      <c r="K15" s="72"/>
      <c r="L15" s="72" t="s">
        <v>564</v>
      </c>
      <c r="M15" s="72"/>
      <c r="N15" s="72"/>
      <c r="O15" s="72"/>
      <c r="P15" s="30" t="s">
        <v>48</v>
      </c>
      <c r="Q15" s="30" t="s">
        <v>61</v>
      </c>
      <c r="R15" s="30">
        <v>80</v>
      </c>
      <c r="S15" s="30" t="s">
        <v>44</v>
      </c>
      <c r="T15" s="30" t="s">
        <v>44</v>
      </c>
      <c r="U15" s="32" t="str">
        <f t="shared" si="0"/>
        <v>N/A</v>
      </c>
    </row>
    <row r="16" spans="1:34" ht="75" customHeight="1" thickTop="1" x14ac:dyDescent="0.2">
      <c r="A16" s="25"/>
      <c r="B16" s="26" t="s">
        <v>87</v>
      </c>
      <c r="C16" s="73" t="s">
        <v>565</v>
      </c>
      <c r="D16" s="73"/>
      <c r="E16" s="73"/>
      <c r="F16" s="73"/>
      <c r="G16" s="73"/>
      <c r="H16" s="73"/>
      <c r="I16" s="73" t="s">
        <v>566</v>
      </c>
      <c r="J16" s="73"/>
      <c r="K16" s="73"/>
      <c r="L16" s="73" t="s">
        <v>567</v>
      </c>
      <c r="M16" s="73"/>
      <c r="N16" s="73"/>
      <c r="O16" s="73"/>
      <c r="P16" s="27" t="s">
        <v>48</v>
      </c>
      <c r="Q16" s="27" t="s">
        <v>61</v>
      </c>
      <c r="R16" s="27">
        <v>80.319999999999993</v>
      </c>
      <c r="S16" s="27" t="s">
        <v>44</v>
      </c>
      <c r="T16" s="27" t="s">
        <v>44</v>
      </c>
      <c r="U16" s="28" t="str">
        <f t="shared" si="0"/>
        <v>N/A</v>
      </c>
    </row>
    <row r="17" spans="1:22" ht="75" customHeight="1" x14ac:dyDescent="0.2">
      <c r="A17" s="25"/>
      <c r="B17" s="29" t="s">
        <v>45</v>
      </c>
      <c r="C17" s="72" t="s">
        <v>45</v>
      </c>
      <c r="D17" s="72"/>
      <c r="E17" s="72"/>
      <c r="F17" s="72"/>
      <c r="G17" s="72"/>
      <c r="H17" s="72"/>
      <c r="I17" s="72" t="s">
        <v>568</v>
      </c>
      <c r="J17" s="72"/>
      <c r="K17" s="72"/>
      <c r="L17" s="72" t="s">
        <v>569</v>
      </c>
      <c r="M17" s="72"/>
      <c r="N17" s="72"/>
      <c r="O17" s="72"/>
      <c r="P17" s="30" t="s">
        <v>48</v>
      </c>
      <c r="Q17" s="30" t="s">
        <v>570</v>
      </c>
      <c r="R17" s="30">
        <v>95</v>
      </c>
      <c r="S17" s="30" t="s">
        <v>44</v>
      </c>
      <c r="T17" s="30" t="s">
        <v>44</v>
      </c>
      <c r="U17" s="32" t="str">
        <f t="shared" si="0"/>
        <v>N/A</v>
      </c>
    </row>
    <row r="18" spans="1:22" ht="75" customHeight="1" x14ac:dyDescent="0.2">
      <c r="A18" s="25"/>
      <c r="B18" s="29" t="s">
        <v>45</v>
      </c>
      <c r="C18" s="72" t="s">
        <v>571</v>
      </c>
      <c r="D18" s="72"/>
      <c r="E18" s="72"/>
      <c r="F18" s="72"/>
      <c r="G18" s="72"/>
      <c r="H18" s="72"/>
      <c r="I18" s="72" t="s">
        <v>572</v>
      </c>
      <c r="J18" s="72"/>
      <c r="K18" s="72"/>
      <c r="L18" s="72" t="s">
        <v>573</v>
      </c>
      <c r="M18" s="72"/>
      <c r="N18" s="72"/>
      <c r="O18" s="72"/>
      <c r="P18" s="30" t="s">
        <v>48</v>
      </c>
      <c r="Q18" s="30" t="s">
        <v>442</v>
      </c>
      <c r="R18" s="30">
        <v>80</v>
      </c>
      <c r="S18" s="30">
        <v>50</v>
      </c>
      <c r="T18" s="30">
        <v>1.2</v>
      </c>
      <c r="U18" s="32">
        <f t="shared" si="0"/>
        <v>2.4</v>
      </c>
    </row>
    <row r="19" spans="1:22" ht="75" customHeight="1" thickBot="1" x14ac:dyDescent="0.25">
      <c r="A19" s="25"/>
      <c r="B19" s="29" t="s">
        <v>45</v>
      </c>
      <c r="C19" s="72" t="s">
        <v>45</v>
      </c>
      <c r="D19" s="72"/>
      <c r="E19" s="72"/>
      <c r="F19" s="72"/>
      <c r="G19" s="72"/>
      <c r="H19" s="72"/>
      <c r="I19" s="72" t="s">
        <v>574</v>
      </c>
      <c r="J19" s="72"/>
      <c r="K19" s="72"/>
      <c r="L19" s="72" t="s">
        <v>575</v>
      </c>
      <c r="M19" s="72"/>
      <c r="N19" s="72"/>
      <c r="O19" s="72"/>
      <c r="P19" s="30" t="s">
        <v>48</v>
      </c>
      <c r="Q19" s="30" t="s">
        <v>258</v>
      </c>
      <c r="R19" s="30">
        <v>66</v>
      </c>
      <c r="S19" s="30">
        <v>100</v>
      </c>
      <c r="T19" s="30">
        <v>0</v>
      </c>
      <c r="U19" s="32">
        <f t="shared" si="0"/>
        <v>0</v>
      </c>
    </row>
    <row r="20" spans="1:22" ht="22.5" customHeight="1" thickTop="1" thickBot="1" x14ac:dyDescent="0.25">
      <c r="B20" s="8" t="s">
        <v>98</v>
      </c>
      <c r="C20" s="9"/>
      <c r="D20" s="9"/>
      <c r="E20" s="9"/>
      <c r="F20" s="9"/>
      <c r="G20" s="9"/>
      <c r="H20" s="10"/>
      <c r="I20" s="10"/>
      <c r="J20" s="10"/>
      <c r="K20" s="10"/>
      <c r="L20" s="10"/>
      <c r="M20" s="10"/>
      <c r="N20" s="10"/>
      <c r="O20" s="10"/>
      <c r="P20" s="10"/>
      <c r="Q20" s="10"/>
      <c r="R20" s="10"/>
      <c r="S20" s="10"/>
      <c r="T20" s="10"/>
      <c r="U20" s="11"/>
      <c r="V20" s="33"/>
    </row>
    <row r="21" spans="1:22" ht="26.25" customHeight="1" thickTop="1" x14ac:dyDescent="0.2">
      <c r="B21" s="34"/>
      <c r="C21" s="35"/>
      <c r="D21" s="35"/>
      <c r="E21" s="35"/>
      <c r="F21" s="35"/>
      <c r="G21" s="35"/>
      <c r="H21" s="36"/>
      <c r="I21" s="36"/>
      <c r="J21" s="36"/>
      <c r="K21" s="36"/>
      <c r="L21" s="36"/>
      <c r="M21" s="36"/>
      <c r="N21" s="36"/>
      <c r="O21" s="36"/>
      <c r="P21" s="37"/>
      <c r="Q21" s="38"/>
      <c r="R21" s="39" t="s">
        <v>99</v>
      </c>
      <c r="S21" s="22" t="s">
        <v>100</v>
      </c>
      <c r="T21" s="39" t="s">
        <v>101</v>
      </c>
      <c r="U21" s="22" t="s">
        <v>102</v>
      </c>
    </row>
    <row r="22" spans="1:22" ht="26.25" customHeight="1" thickBot="1" x14ac:dyDescent="0.25">
      <c r="B22" s="40"/>
      <c r="C22" s="41"/>
      <c r="D22" s="41"/>
      <c r="E22" s="41"/>
      <c r="F22" s="41"/>
      <c r="G22" s="41"/>
      <c r="H22" s="42"/>
      <c r="I22" s="42"/>
      <c r="J22" s="42"/>
      <c r="K22" s="42"/>
      <c r="L22" s="42"/>
      <c r="M22" s="42"/>
      <c r="N22" s="42"/>
      <c r="O22" s="42"/>
      <c r="P22" s="43"/>
      <c r="Q22" s="44"/>
      <c r="R22" s="45" t="s">
        <v>103</v>
      </c>
      <c r="S22" s="44" t="s">
        <v>103</v>
      </c>
      <c r="T22" s="44" t="s">
        <v>103</v>
      </c>
      <c r="U22" s="44" t="s">
        <v>104</v>
      </c>
    </row>
    <row r="23" spans="1:22" ht="13.5" customHeight="1" thickBot="1" x14ac:dyDescent="0.25">
      <c r="B23" s="65" t="s">
        <v>105</v>
      </c>
      <c r="C23" s="66"/>
      <c r="D23" s="66"/>
      <c r="E23" s="46"/>
      <c r="F23" s="46"/>
      <c r="G23" s="46"/>
      <c r="H23" s="47"/>
      <c r="I23" s="47"/>
      <c r="J23" s="47"/>
      <c r="K23" s="47"/>
      <c r="L23" s="47"/>
      <c r="M23" s="47"/>
      <c r="N23" s="47"/>
      <c r="O23" s="47"/>
      <c r="P23" s="48"/>
      <c r="Q23" s="48"/>
      <c r="R23" s="49">
        <f>3522.042129</f>
        <v>3522.0421289999999</v>
      </c>
      <c r="S23" s="49">
        <f>102.312115</f>
        <v>102.31211500000001</v>
      </c>
      <c r="T23" s="49">
        <f>831.69114335</f>
        <v>831.69114334999995</v>
      </c>
      <c r="U23" s="50">
        <f>+IF(ISERR(T23/S23*100),"N/A",T23/S23*100)</f>
        <v>812.89605180188073</v>
      </c>
    </row>
    <row r="24" spans="1:22" ht="13.5" customHeight="1" thickBot="1" x14ac:dyDescent="0.25">
      <c r="B24" s="67" t="s">
        <v>106</v>
      </c>
      <c r="C24" s="68"/>
      <c r="D24" s="68"/>
      <c r="E24" s="51"/>
      <c r="F24" s="51"/>
      <c r="G24" s="51"/>
      <c r="H24" s="52"/>
      <c r="I24" s="52"/>
      <c r="J24" s="52"/>
      <c r="K24" s="52"/>
      <c r="L24" s="52"/>
      <c r="M24" s="52"/>
      <c r="N24" s="52"/>
      <c r="O24" s="52"/>
      <c r="P24" s="53"/>
      <c r="Q24" s="53"/>
      <c r="R24" s="49">
        <f>6353.46231173</f>
        <v>6353.4623117299998</v>
      </c>
      <c r="S24" s="49">
        <f>862.66701483</f>
        <v>862.66701482999997</v>
      </c>
      <c r="T24" s="49">
        <f>831.69114335</f>
        <v>831.69114334999995</v>
      </c>
      <c r="U24" s="50">
        <f>+IF(ISERR(T24/S24*100),"N/A",T24/S24*100)</f>
        <v>96.409289917488707</v>
      </c>
    </row>
    <row r="25" spans="1:22" ht="14.85" customHeight="1" thickTop="1" thickBot="1" x14ac:dyDescent="0.25">
      <c r="B25" s="8" t="s">
        <v>107</v>
      </c>
      <c r="C25" s="9"/>
      <c r="D25" s="9"/>
      <c r="E25" s="9"/>
      <c r="F25" s="9"/>
      <c r="G25" s="9"/>
      <c r="H25" s="10"/>
      <c r="I25" s="10"/>
      <c r="J25" s="10"/>
      <c r="K25" s="10"/>
      <c r="L25" s="10"/>
      <c r="M25" s="10"/>
      <c r="N25" s="10"/>
      <c r="O25" s="10"/>
      <c r="P25" s="10"/>
      <c r="Q25" s="10"/>
      <c r="R25" s="10"/>
      <c r="S25" s="10"/>
      <c r="T25" s="10"/>
      <c r="U25" s="11"/>
    </row>
    <row r="26" spans="1:22" ht="44.25" customHeight="1" thickTop="1" x14ac:dyDescent="0.2">
      <c r="B26" s="69" t="s">
        <v>108</v>
      </c>
      <c r="C26" s="70"/>
      <c r="D26" s="70"/>
      <c r="E26" s="70"/>
      <c r="F26" s="70"/>
      <c r="G26" s="70"/>
      <c r="H26" s="70"/>
      <c r="I26" s="70"/>
      <c r="J26" s="70"/>
      <c r="K26" s="70"/>
      <c r="L26" s="70"/>
      <c r="M26" s="70"/>
      <c r="N26" s="70"/>
      <c r="O26" s="70"/>
      <c r="P26" s="70"/>
      <c r="Q26" s="70"/>
      <c r="R26" s="70"/>
      <c r="S26" s="70"/>
      <c r="T26" s="70"/>
      <c r="U26" s="71"/>
    </row>
    <row r="27" spans="1:22" ht="34.5" customHeight="1" x14ac:dyDescent="0.2">
      <c r="B27" s="59" t="s">
        <v>547</v>
      </c>
      <c r="C27" s="60"/>
      <c r="D27" s="60"/>
      <c r="E27" s="60"/>
      <c r="F27" s="60"/>
      <c r="G27" s="60"/>
      <c r="H27" s="60"/>
      <c r="I27" s="60"/>
      <c r="J27" s="60"/>
      <c r="K27" s="60"/>
      <c r="L27" s="60"/>
      <c r="M27" s="60"/>
      <c r="N27" s="60"/>
      <c r="O27" s="60"/>
      <c r="P27" s="60"/>
      <c r="Q27" s="60"/>
      <c r="R27" s="60"/>
      <c r="S27" s="60"/>
      <c r="T27" s="60"/>
      <c r="U27" s="61"/>
    </row>
    <row r="28" spans="1:22" ht="34.5" customHeight="1" x14ac:dyDescent="0.2">
      <c r="B28" s="59" t="s">
        <v>576</v>
      </c>
      <c r="C28" s="60"/>
      <c r="D28" s="60"/>
      <c r="E28" s="60"/>
      <c r="F28" s="60"/>
      <c r="G28" s="60"/>
      <c r="H28" s="60"/>
      <c r="I28" s="60"/>
      <c r="J28" s="60"/>
      <c r="K28" s="60"/>
      <c r="L28" s="60"/>
      <c r="M28" s="60"/>
      <c r="N28" s="60"/>
      <c r="O28" s="60"/>
      <c r="P28" s="60"/>
      <c r="Q28" s="60"/>
      <c r="R28" s="60"/>
      <c r="S28" s="60"/>
      <c r="T28" s="60"/>
      <c r="U28" s="61"/>
    </row>
    <row r="29" spans="1:22" ht="34.5" customHeight="1" x14ac:dyDescent="0.2">
      <c r="B29" s="59" t="s">
        <v>577</v>
      </c>
      <c r="C29" s="60"/>
      <c r="D29" s="60"/>
      <c r="E29" s="60"/>
      <c r="F29" s="60"/>
      <c r="G29" s="60"/>
      <c r="H29" s="60"/>
      <c r="I29" s="60"/>
      <c r="J29" s="60"/>
      <c r="K29" s="60"/>
      <c r="L29" s="60"/>
      <c r="M29" s="60"/>
      <c r="N29" s="60"/>
      <c r="O29" s="60"/>
      <c r="P29" s="60"/>
      <c r="Q29" s="60"/>
      <c r="R29" s="60"/>
      <c r="S29" s="60"/>
      <c r="T29" s="60"/>
      <c r="U29" s="61"/>
    </row>
    <row r="30" spans="1:22" ht="34.5" customHeight="1" x14ac:dyDescent="0.2">
      <c r="B30" s="59" t="s">
        <v>578</v>
      </c>
      <c r="C30" s="60"/>
      <c r="D30" s="60"/>
      <c r="E30" s="60"/>
      <c r="F30" s="60"/>
      <c r="G30" s="60"/>
      <c r="H30" s="60"/>
      <c r="I30" s="60"/>
      <c r="J30" s="60"/>
      <c r="K30" s="60"/>
      <c r="L30" s="60"/>
      <c r="M30" s="60"/>
      <c r="N30" s="60"/>
      <c r="O30" s="60"/>
      <c r="P30" s="60"/>
      <c r="Q30" s="60"/>
      <c r="R30" s="60"/>
      <c r="S30" s="60"/>
      <c r="T30" s="60"/>
      <c r="U30" s="61"/>
    </row>
    <row r="31" spans="1:22" ht="34.5" customHeight="1" x14ac:dyDescent="0.2">
      <c r="B31" s="59" t="s">
        <v>579</v>
      </c>
      <c r="C31" s="60"/>
      <c r="D31" s="60"/>
      <c r="E31" s="60"/>
      <c r="F31" s="60"/>
      <c r="G31" s="60"/>
      <c r="H31" s="60"/>
      <c r="I31" s="60"/>
      <c r="J31" s="60"/>
      <c r="K31" s="60"/>
      <c r="L31" s="60"/>
      <c r="M31" s="60"/>
      <c r="N31" s="60"/>
      <c r="O31" s="60"/>
      <c r="P31" s="60"/>
      <c r="Q31" s="60"/>
      <c r="R31" s="60"/>
      <c r="S31" s="60"/>
      <c r="T31" s="60"/>
      <c r="U31" s="61"/>
    </row>
    <row r="32" spans="1:22" ht="34.5" customHeight="1" x14ac:dyDescent="0.2">
      <c r="B32" s="59" t="s">
        <v>580</v>
      </c>
      <c r="C32" s="60"/>
      <c r="D32" s="60"/>
      <c r="E32" s="60"/>
      <c r="F32" s="60"/>
      <c r="G32" s="60"/>
      <c r="H32" s="60"/>
      <c r="I32" s="60"/>
      <c r="J32" s="60"/>
      <c r="K32" s="60"/>
      <c r="L32" s="60"/>
      <c r="M32" s="60"/>
      <c r="N32" s="60"/>
      <c r="O32" s="60"/>
      <c r="P32" s="60"/>
      <c r="Q32" s="60"/>
      <c r="R32" s="60"/>
      <c r="S32" s="60"/>
      <c r="T32" s="60"/>
      <c r="U32" s="61"/>
    </row>
    <row r="33" spans="2:21" ht="34.5" customHeight="1" x14ac:dyDescent="0.2">
      <c r="B33" s="59" t="s">
        <v>581</v>
      </c>
      <c r="C33" s="60"/>
      <c r="D33" s="60"/>
      <c r="E33" s="60"/>
      <c r="F33" s="60"/>
      <c r="G33" s="60"/>
      <c r="H33" s="60"/>
      <c r="I33" s="60"/>
      <c r="J33" s="60"/>
      <c r="K33" s="60"/>
      <c r="L33" s="60"/>
      <c r="M33" s="60"/>
      <c r="N33" s="60"/>
      <c r="O33" s="60"/>
      <c r="P33" s="60"/>
      <c r="Q33" s="60"/>
      <c r="R33" s="60"/>
      <c r="S33" s="60"/>
      <c r="T33" s="60"/>
      <c r="U33" s="61"/>
    </row>
    <row r="34" spans="2:21" ht="53.85" customHeight="1" x14ac:dyDescent="0.2">
      <c r="B34" s="59" t="s">
        <v>582</v>
      </c>
      <c r="C34" s="60"/>
      <c r="D34" s="60"/>
      <c r="E34" s="60"/>
      <c r="F34" s="60"/>
      <c r="G34" s="60"/>
      <c r="H34" s="60"/>
      <c r="I34" s="60"/>
      <c r="J34" s="60"/>
      <c r="K34" s="60"/>
      <c r="L34" s="60"/>
      <c r="M34" s="60"/>
      <c r="N34" s="60"/>
      <c r="O34" s="60"/>
      <c r="P34" s="60"/>
      <c r="Q34" s="60"/>
      <c r="R34" s="60"/>
      <c r="S34" s="60"/>
      <c r="T34" s="60"/>
      <c r="U34" s="61"/>
    </row>
    <row r="35" spans="2:21" ht="26.45" customHeight="1" thickBot="1" x14ac:dyDescent="0.25">
      <c r="B35" s="62" t="s">
        <v>583</v>
      </c>
      <c r="C35" s="63"/>
      <c r="D35" s="63"/>
      <c r="E35" s="63"/>
      <c r="F35" s="63"/>
      <c r="G35" s="63"/>
      <c r="H35" s="63"/>
      <c r="I35" s="63"/>
      <c r="J35" s="63"/>
      <c r="K35" s="63"/>
      <c r="L35" s="63"/>
      <c r="M35" s="63"/>
      <c r="N35" s="63"/>
      <c r="O35" s="63"/>
      <c r="P35" s="63"/>
      <c r="Q35" s="63"/>
      <c r="R35" s="63"/>
      <c r="S35" s="63"/>
      <c r="T35" s="63"/>
      <c r="U35" s="64"/>
    </row>
  </sheetData>
  <mergeCells count="6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B35:U35"/>
    <mergeCell ref="B23:D23"/>
    <mergeCell ref="B24:D24"/>
    <mergeCell ref="B26:U26"/>
    <mergeCell ref="B27:U27"/>
    <mergeCell ref="B28:U28"/>
    <mergeCell ref="B29:U29"/>
    <mergeCell ref="B30:U30"/>
    <mergeCell ref="B31:U31"/>
    <mergeCell ref="B32:U32"/>
    <mergeCell ref="B33:U33"/>
    <mergeCell ref="B34:U34"/>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584</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7</v>
      </c>
      <c r="D4" s="99" t="s">
        <v>8</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23</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39</v>
      </c>
      <c r="D11" s="73"/>
      <c r="E11" s="73"/>
      <c r="F11" s="73"/>
      <c r="G11" s="73"/>
      <c r="H11" s="73"/>
      <c r="I11" s="73" t="s">
        <v>40</v>
      </c>
      <c r="J11" s="73"/>
      <c r="K11" s="73"/>
      <c r="L11" s="73" t="s">
        <v>41</v>
      </c>
      <c r="M11" s="73"/>
      <c r="N11" s="73"/>
      <c r="O11" s="73"/>
      <c r="P11" s="27" t="s">
        <v>42</v>
      </c>
      <c r="Q11" s="27" t="s">
        <v>43</v>
      </c>
      <c r="R11" s="27">
        <v>5</v>
      </c>
      <c r="S11" s="27" t="s">
        <v>44</v>
      </c>
      <c r="T11" s="27" t="s">
        <v>44</v>
      </c>
      <c r="U11" s="28" t="str">
        <f>IF(ISERR((S11-T11)*100/S11+100),"N/A",(S11-T11)*100/S11+100)</f>
        <v>N/A</v>
      </c>
    </row>
    <row r="12" spans="1:34" ht="75" customHeight="1" x14ac:dyDescent="0.2">
      <c r="A12" s="25"/>
      <c r="B12" s="29" t="s">
        <v>45</v>
      </c>
      <c r="C12" s="72" t="s">
        <v>45</v>
      </c>
      <c r="D12" s="72"/>
      <c r="E12" s="72"/>
      <c r="F12" s="72"/>
      <c r="G12" s="72"/>
      <c r="H12" s="72"/>
      <c r="I12" s="72" t="s">
        <v>46</v>
      </c>
      <c r="J12" s="72"/>
      <c r="K12" s="72"/>
      <c r="L12" s="72" t="s">
        <v>47</v>
      </c>
      <c r="M12" s="72"/>
      <c r="N12" s="72"/>
      <c r="O12" s="72"/>
      <c r="P12" s="30" t="s">
        <v>48</v>
      </c>
      <c r="Q12" s="30" t="s">
        <v>49</v>
      </c>
      <c r="R12" s="31">
        <v>12</v>
      </c>
      <c r="S12" s="31" t="s">
        <v>44</v>
      </c>
      <c r="T12" s="31" t="s">
        <v>44</v>
      </c>
      <c r="U12" s="32" t="str">
        <f>IF(ISERR((S12-T12)*100/S12+100),"N/A",(S12-T12)*100/S12+100)</f>
        <v>N/A</v>
      </c>
    </row>
    <row r="13" spans="1:34" ht="75" customHeight="1" x14ac:dyDescent="0.2">
      <c r="A13" s="25"/>
      <c r="B13" s="29" t="s">
        <v>45</v>
      </c>
      <c r="C13" s="72" t="s">
        <v>45</v>
      </c>
      <c r="D13" s="72"/>
      <c r="E13" s="72"/>
      <c r="F13" s="72"/>
      <c r="G13" s="72"/>
      <c r="H13" s="72"/>
      <c r="I13" s="72" t="s">
        <v>50</v>
      </c>
      <c r="J13" s="72"/>
      <c r="K13" s="72"/>
      <c r="L13" s="72" t="s">
        <v>51</v>
      </c>
      <c r="M13" s="72"/>
      <c r="N13" s="72"/>
      <c r="O13" s="72"/>
      <c r="P13" s="30" t="s">
        <v>42</v>
      </c>
      <c r="Q13" s="30" t="s">
        <v>43</v>
      </c>
      <c r="R13" s="30">
        <v>9.5</v>
      </c>
      <c r="S13" s="30" t="s">
        <v>44</v>
      </c>
      <c r="T13" s="30" t="s">
        <v>44</v>
      </c>
      <c r="U13" s="32" t="str">
        <f>IF(ISERR((S13-T13)*100/S13+100),"N/A",(S13-T13)*100/S13+100)</f>
        <v>N/A</v>
      </c>
    </row>
    <row r="14" spans="1:34" ht="75" customHeight="1" x14ac:dyDescent="0.2">
      <c r="A14" s="25"/>
      <c r="B14" s="29" t="s">
        <v>45</v>
      </c>
      <c r="C14" s="72" t="s">
        <v>45</v>
      </c>
      <c r="D14" s="72"/>
      <c r="E14" s="72"/>
      <c r="F14" s="72"/>
      <c r="G14" s="72"/>
      <c r="H14" s="72"/>
      <c r="I14" s="72" t="s">
        <v>52</v>
      </c>
      <c r="J14" s="72"/>
      <c r="K14" s="72"/>
      <c r="L14" s="72" t="s">
        <v>53</v>
      </c>
      <c r="M14" s="72"/>
      <c r="N14" s="72"/>
      <c r="O14" s="72"/>
      <c r="P14" s="30" t="s">
        <v>48</v>
      </c>
      <c r="Q14" s="30" t="s">
        <v>43</v>
      </c>
      <c r="R14" s="31">
        <v>84.6</v>
      </c>
      <c r="S14" s="31" t="s">
        <v>44</v>
      </c>
      <c r="T14" s="31" t="s">
        <v>44</v>
      </c>
      <c r="U14" s="32" t="str">
        <f>IF(ISERR(T14/S14*100),"N/A",T14/S14*100)</f>
        <v>N/A</v>
      </c>
    </row>
    <row r="15" spans="1:34" ht="75" customHeight="1" x14ac:dyDescent="0.2">
      <c r="A15" s="25"/>
      <c r="B15" s="29" t="s">
        <v>45</v>
      </c>
      <c r="C15" s="72" t="s">
        <v>45</v>
      </c>
      <c r="D15" s="72"/>
      <c r="E15" s="72"/>
      <c r="F15" s="72"/>
      <c r="G15" s="72"/>
      <c r="H15" s="72"/>
      <c r="I15" s="72" t="s">
        <v>54</v>
      </c>
      <c r="J15" s="72"/>
      <c r="K15" s="72"/>
      <c r="L15" s="72" t="s">
        <v>55</v>
      </c>
      <c r="M15" s="72"/>
      <c r="N15" s="72"/>
      <c r="O15" s="72"/>
      <c r="P15" s="30" t="s">
        <v>42</v>
      </c>
      <c r="Q15" s="30" t="s">
        <v>43</v>
      </c>
      <c r="R15" s="30">
        <v>0.85</v>
      </c>
      <c r="S15" s="30" t="s">
        <v>44</v>
      </c>
      <c r="T15" s="30" t="s">
        <v>44</v>
      </c>
      <c r="U15" s="32" t="str">
        <f>IF(ISERR((S15-T15)*100/S15+100),"N/A",(S15-T15)*100/S15+100)</f>
        <v>N/A</v>
      </c>
    </row>
    <row r="16" spans="1:34" ht="75" customHeight="1" x14ac:dyDescent="0.2">
      <c r="A16" s="25"/>
      <c r="B16" s="29" t="s">
        <v>45</v>
      </c>
      <c r="C16" s="72" t="s">
        <v>45</v>
      </c>
      <c r="D16" s="72"/>
      <c r="E16" s="72"/>
      <c r="F16" s="72"/>
      <c r="G16" s="72"/>
      <c r="H16" s="72"/>
      <c r="I16" s="72" t="s">
        <v>56</v>
      </c>
      <c r="J16" s="72"/>
      <c r="K16" s="72"/>
      <c r="L16" s="72" t="s">
        <v>57</v>
      </c>
      <c r="M16" s="72"/>
      <c r="N16" s="72"/>
      <c r="O16" s="72"/>
      <c r="P16" s="30" t="s">
        <v>58</v>
      </c>
      <c r="Q16" s="30" t="s">
        <v>43</v>
      </c>
      <c r="R16" s="31">
        <v>78.19</v>
      </c>
      <c r="S16" s="31" t="s">
        <v>44</v>
      </c>
      <c r="T16" s="31" t="s">
        <v>44</v>
      </c>
      <c r="U16" s="32" t="str">
        <f>IF(ISERR(T16/S16*100),"N/A",T16/S16*100)</f>
        <v>N/A</v>
      </c>
    </row>
    <row r="17" spans="1:22" ht="75" customHeight="1" thickBot="1" x14ac:dyDescent="0.25">
      <c r="A17" s="25"/>
      <c r="B17" s="29" t="s">
        <v>45</v>
      </c>
      <c r="C17" s="72" t="s">
        <v>45</v>
      </c>
      <c r="D17" s="72"/>
      <c r="E17" s="72"/>
      <c r="F17" s="72"/>
      <c r="G17" s="72"/>
      <c r="H17" s="72"/>
      <c r="I17" s="72" t="s">
        <v>59</v>
      </c>
      <c r="J17" s="72"/>
      <c r="K17" s="72"/>
      <c r="L17" s="72" t="s">
        <v>60</v>
      </c>
      <c r="M17" s="72"/>
      <c r="N17" s="72"/>
      <c r="O17" s="72"/>
      <c r="P17" s="30" t="s">
        <v>48</v>
      </c>
      <c r="Q17" s="30" t="s">
        <v>61</v>
      </c>
      <c r="R17" s="31">
        <v>90</v>
      </c>
      <c r="S17" s="31" t="s">
        <v>44</v>
      </c>
      <c r="T17" s="31" t="s">
        <v>44</v>
      </c>
      <c r="U17" s="32" t="str">
        <f>IF(ISERR(T17/S17*100),"N/A",T17/S17*100)</f>
        <v>N/A</v>
      </c>
    </row>
    <row r="18" spans="1:22" ht="75" customHeight="1" thickTop="1" x14ac:dyDescent="0.2">
      <c r="A18" s="25"/>
      <c r="B18" s="26" t="s">
        <v>62</v>
      </c>
      <c r="C18" s="73" t="s">
        <v>63</v>
      </c>
      <c r="D18" s="73"/>
      <c r="E18" s="73"/>
      <c r="F18" s="73"/>
      <c r="G18" s="73"/>
      <c r="H18" s="73"/>
      <c r="I18" s="73" t="s">
        <v>64</v>
      </c>
      <c r="J18" s="73"/>
      <c r="K18" s="73"/>
      <c r="L18" s="73" t="s">
        <v>65</v>
      </c>
      <c r="M18" s="73"/>
      <c r="N18" s="73"/>
      <c r="O18" s="73"/>
      <c r="P18" s="27" t="s">
        <v>48</v>
      </c>
      <c r="Q18" s="27" t="s">
        <v>43</v>
      </c>
      <c r="R18" s="27">
        <v>12</v>
      </c>
      <c r="S18" s="27" t="s">
        <v>44</v>
      </c>
      <c r="T18" s="27" t="s">
        <v>44</v>
      </c>
      <c r="U18" s="28" t="str">
        <f>IF(ISERR((S18-T18)*100/S18+100),"N/A",(S18-T18)*100/S18+100)</f>
        <v>N/A</v>
      </c>
    </row>
    <row r="19" spans="1:22" ht="75" customHeight="1" x14ac:dyDescent="0.2">
      <c r="A19" s="25"/>
      <c r="B19" s="29" t="s">
        <v>45</v>
      </c>
      <c r="C19" s="72" t="s">
        <v>45</v>
      </c>
      <c r="D19" s="72"/>
      <c r="E19" s="72"/>
      <c r="F19" s="72"/>
      <c r="G19" s="72"/>
      <c r="H19" s="72"/>
      <c r="I19" s="72" t="s">
        <v>66</v>
      </c>
      <c r="J19" s="72"/>
      <c r="K19" s="72"/>
      <c r="L19" s="72" t="s">
        <v>67</v>
      </c>
      <c r="M19" s="72"/>
      <c r="N19" s="72"/>
      <c r="O19" s="72"/>
      <c r="P19" s="30" t="s">
        <v>48</v>
      </c>
      <c r="Q19" s="30" t="s">
        <v>43</v>
      </c>
      <c r="R19" s="30">
        <v>66.5</v>
      </c>
      <c r="S19" s="30" t="s">
        <v>44</v>
      </c>
      <c r="T19" s="30" t="s">
        <v>44</v>
      </c>
      <c r="U19" s="32" t="str">
        <f>IF(ISERR(T19/S19*100),"N/A",T19/S19*100)</f>
        <v>N/A</v>
      </c>
    </row>
    <row r="20" spans="1:22" ht="75" customHeight="1" thickBot="1" x14ac:dyDescent="0.25">
      <c r="A20" s="25"/>
      <c r="B20" s="29" t="s">
        <v>45</v>
      </c>
      <c r="C20" s="72" t="s">
        <v>45</v>
      </c>
      <c r="D20" s="72"/>
      <c r="E20" s="72"/>
      <c r="F20" s="72"/>
      <c r="G20" s="72"/>
      <c r="H20" s="72"/>
      <c r="I20" s="72" t="s">
        <v>68</v>
      </c>
      <c r="J20" s="72"/>
      <c r="K20" s="72"/>
      <c r="L20" s="72" t="s">
        <v>69</v>
      </c>
      <c r="M20" s="72"/>
      <c r="N20" s="72"/>
      <c r="O20" s="72"/>
      <c r="P20" s="30" t="s">
        <v>70</v>
      </c>
      <c r="Q20" s="30" t="s">
        <v>43</v>
      </c>
      <c r="R20" s="30">
        <v>10.07</v>
      </c>
      <c r="S20" s="30" t="s">
        <v>44</v>
      </c>
      <c r="T20" s="30" t="s">
        <v>44</v>
      </c>
      <c r="U20" s="32" t="str">
        <f>IF(ISERR((S20-T20)*100/S20+100),"N/A",(S20-T20)*100/S20+100)</f>
        <v>N/A</v>
      </c>
    </row>
    <row r="21" spans="1:22" ht="75" customHeight="1" thickTop="1" x14ac:dyDescent="0.2">
      <c r="A21" s="25"/>
      <c r="B21" s="26" t="s">
        <v>71</v>
      </c>
      <c r="C21" s="73" t="s">
        <v>72</v>
      </c>
      <c r="D21" s="73"/>
      <c r="E21" s="73"/>
      <c r="F21" s="73"/>
      <c r="G21" s="73"/>
      <c r="H21" s="73"/>
      <c r="I21" s="73" t="s">
        <v>73</v>
      </c>
      <c r="J21" s="73"/>
      <c r="K21" s="73"/>
      <c r="L21" s="73" t="s">
        <v>74</v>
      </c>
      <c r="M21" s="73"/>
      <c r="N21" s="73"/>
      <c r="O21" s="73"/>
      <c r="P21" s="27" t="s">
        <v>48</v>
      </c>
      <c r="Q21" s="27" t="s">
        <v>75</v>
      </c>
      <c r="R21" s="27">
        <v>30</v>
      </c>
      <c r="S21" s="27">
        <v>15</v>
      </c>
      <c r="T21" s="27">
        <v>12.45</v>
      </c>
      <c r="U21" s="28">
        <f t="shared" ref="U21:U29" si="0">IF(ISERR(T21/S21*100),"N/A",T21/S21*100)</f>
        <v>83</v>
      </c>
    </row>
    <row r="22" spans="1:22" ht="75" customHeight="1" x14ac:dyDescent="0.2">
      <c r="A22" s="25"/>
      <c r="B22" s="29" t="s">
        <v>45</v>
      </c>
      <c r="C22" s="72" t="s">
        <v>45</v>
      </c>
      <c r="D22" s="72"/>
      <c r="E22" s="72"/>
      <c r="F22" s="72"/>
      <c r="G22" s="72"/>
      <c r="H22" s="72"/>
      <c r="I22" s="72" t="s">
        <v>76</v>
      </c>
      <c r="J22" s="72"/>
      <c r="K22" s="72"/>
      <c r="L22" s="72" t="s">
        <v>77</v>
      </c>
      <c r="M22" s="72"/>
      <c r="N22" s="72"/>
      <c r="O22" s="72"/>
      <c r="P22" s="30" t="s">
        <v>48</v>
      </c>
      <c r="Q22" s="30" t="s">
        <v>75</v>
      </c>
      <c r="R22" s="30">
        <v>33</v>
      </c>
      <c r="S22" s="30">
        <v>16.5</v>
      </c>
      <c r="T22" s="30">
        <v>11.52</v>
      </c>
      <c r="U22" s="32">
        <f t="shared" si="0"/>
        <v>69.818181818181813</v>
      </c>
    </row>
    <row r="23" spans="1:22" ht="75" customHeight="1" x14ac:dyDescent="0.2">
      <c r="A23" s="25"/>
      <c r="B23" s="29" t="s">
        <v>45</v>
      </c>
      <c r="C23" s="72" t="s">
        <v>45</v>
      </c>
      <c r="D23" s="72"/>
      <c r="E23" s="72"/>
      <c r="F23" s="72"/>
      <c r="G23" s="72"/>
      <c r="H23" s="72"/>
      <c r="I23" s="72" t="s">
        <v>78</v>
      </c>
      <c r="J23" s="72"/>
      <c r="K23" s="72"/>
      <c r="L23" s="72" t="s">
        <v>79</v>
      </c>
      <c r="M23" s="72"/>
      <c r="N23" s="72"/>
      <c r="O23" s="72"/>
      <c r="P23" s="30" t="s">
        <v>48</v>
      </c>
      <c r="Q23" s="30" t="s">
        <v>75</v>
      </c>
      <c r="R23" s="30">
        <v>95</v>
      </c>
      <c r="S23" s="30">
        <v>95</v>
      </c>
      <c r="T23" s="30">
        <v>82.14</v>
      </c>
      <c r="U23" s="32">
        <f t="shared" si="0"/>
        <v>86.463157894736838</v>
      </c>
    </row>
    <row r="24" spans="1:22" ht="75" customHeight="1" x14ac:dyDescent="0.2">
      <c r="A24" s="25"/>
      <c r="B24" s="29" t="s">
        <v>45</v>
      </c>
      <c r="C24" s="72" t="s">
        <v>45</v>
      </c>
      <c r="D24" s="72"/>
      <c r="E24" s="72"/>
      <c r="F24" s="72"/>
      <c r="G24" s="72"/>
      <c r="H24" s="72"/>
      <c r="I24" s="72" t="s">
        <v>80</v>
      </c>
      <c r="J24" s="72"/>
      <c r="K24" s="72"/>
      <c r="L24" s="72" t="s">
        <v>81</v>
      </c>
      <c r="M24" s="72"/>
      <c r="N24" s="72"/>
      <c r="O24" s="72"/>
      <c r="P24" s="30" t="s">
        <v>48</v>
      </c>
      <c r="Q24" s="30" t="s">
        <v>75</v>
      </c>
      <c r="R24" s="30">
        <v>20</v>
      </c>
      <c r="S24" s="30">
        <v>10</v>
      </c>
      <c r="T24" s="30">
        <v>9.76</v>
      </c>
      <c r="U24" s="32">
        <f t="shared" si="0"/>
        <v>97.6</v>
      </c>
    </row>
    <row r="25" spans="1:22" ht="75" customHeight="1" x14ac:dyDescent="0.2">
      <c r="A25" s="25"/>
      <c r="B25" s="29" t="s">
        <v>45</v>
      </c>
      <c r="C25" s="72" t="s">
        <v>45</v>
      </c>
      <c r="D25" s="72"/>
      <c r="E25" s="72"/>
      <c r="F25" s="72"/>
      <c r="G25" s="72"/>
      <c r="H25" s="72"/>
      <c r="I25" s="72" t="s">
        <v>82</v>
      </c>
      <c r="J25" s="72"/>
      <c r="K25" s="72"/>
      <c r="L25" s="72" t="s">
        <v>83</v>
      </c>
      <c r="M25" s="72"/>
      <c r="N25" s="72"/>
      <c r="O25" s="72"/>
      <c r="P25" s="30" t="s">
        <v>48</v>
      </c>
      <c r="Q25" s="30" t="s">
        <v>75</v>
      </c>
      <c r="R25" s="30">
        <v>65</v>
      </c>
      <c r="S25" s="30">
        <v>32.5</v>
      </c>
      <c r="T25" s="30">
        <v>37.32</v>
      </c>
      <c r="U25" s="32">
        <f t="shared" si="0"/>
        <v>114.83076923076922</v>
      </c>
    </row>
    <row r="26" spans="1:22" ht="75" customHeight="1" thickBot="1" x14ac:dyDescent="0.25">
      <c r="A26" s="25"/>
      <c r="B26" s="29" t="s">
        <v>45</v>
      </c>
      <c r="C26" s="72" t="s">
        <v>84</v>
      </c>
      <c r="D26" s="72"/>
      <c r="E26" s="72"/>
      <c r="F26" s="72"/>
      <c r="G26" s="72"/>
      <c r="H26" s="72"/>
      <c r="I26" s="72" t="s">
        <v>85</v>
      </c>
      <c r="J26" s="72"/>
      <c r="K26" s="72"/>
      <c r="L26" s="72" t="s">
        <v>86</v>
      </c>
      <c r="M26" s="72"/>
      <c r="N26" s="72"/>
      <c r="O26" s="72"/>
      <c r="P26" s="30" t="s">
        <v>48</v>
      </c>
      <c r="Q26" s="30" t="s">
        <v>75</v>
      </c>
      <c r="R26" s="30">
        <v>95</v>
      </c>
      <c r="S26" s="30">
        <v>95</v>
      </c>
      <c r="T26" s="30">
        <v>71.599999999999994</v>
      </c>
      <c r="U26" s="32">
        <f t="shared" si="0"/>
        <v>75.368421052631575</v>
      </c>
    </row>
    <row r="27" spans="1:22" ht="75" customHeight="1" thickTop="1" x14ac:dyDescent="0.2">
      <c r="A27" s="25"/>
      <c r="B27" s="26" t="s">
        <v>87</v>
      </c>
      <c r="C27" s="73" t="s">
        <v>88</v>
      </c>
      <c r="D27" s="73"/>
      <c r="E27" s="73"/>
      <c r="F27" s="73"/>
      <c r="G27" s="73"/>
      <c r="H27" s="73"/>
      <c r="I27" s="73" t="s">
        <v>89</v>
      </c>
      <c r="J27" s="73"/>
      <c r="K27" s="73"/>
      <c r="L27" s="73" t="s">
        <v>90</v>
      </c>
      <c r="M27" s="73"/>
      <c r="N27" s="73"/>
      <c r="O27" s="73"/>
      <c r="P27" s="27" t="s">
        <v>48</v>
      </c>
      <c r="Q27" s="27" t="s">
        <v>91</v>
      </c>
      <c r="R27" s="27">
        <v>99.7</v>
      </c>
      <c r="S27" s="27">
        <v>98.9</v>
      </c>
      <c r="T27" s="27">
        <v>98.3</v>
      </c>
      <c r="U27" s="28">
        <f t="shared" si="0"/>
        <v>99.393326592517681</v>
      </c>
    </row>
    <row r="28" spans="1:22" ht="75" customHeight="1" x14ac:dyDescent="0.2">
      <c r="A28" s="25"/>
      <c r="B28" s="29" t="s">
        <v>45</v>
      </c>
      <c r="C28" s="72" t="s">
        <v>92</v>
      </c>
      <c r="D28" s="72"/>
      <c r="E28" s="72"/>
      <c r="F28" s="72"/>
      <c r="G28" s="72"/>
      <c r="H28" s="72"/>
      <c r="I28" s="72" t="s">
        <v>93</v>
      </c>
      <c r="J28" s="72"/>
      <c r="K28" s="72"/>
      <c r="L28" s="72" t="s">
        <v>94</v>
      </c>
      <c r="M28" s="72"/>
      <c r="N28" s="72"/>
      <c r="O28" s="72"/>
      <c r="P28" s="30" t="s">
        <v>48</v>
      </c>
      <c r="Q28" s="30" t="s">
        <v>91</v>
      </c>
      <c r="R28" s="30">
        <v>64</v>
      </c>
      <c r="S28" s="30">
        <v>53</v>
      </c>
      <c r="T28" s="30">
        <v>52.67</v>
      </c>
      <c r="U28" s="32">
        <f t="shared" si="0"/>
        <v>99.377358490566039</v>
      </c>
    </row>
    <row r="29" spans="1:22" ht="75" customHeight="1" thickBot="1" x14ac:dyDescent="0.25">
      <c r="A29" s="25"/>
      <c r="B29" s="29" t="s">
        <v>45</v>
      </c>
      <c r="C29" s="72" t="s">
        <v>95</v>
      </c>
      <c r="D29" s="72"/>
      <c r="E29" s="72"/>
      <c r="F29" s="72"/>
      <c r="G29" s="72"/>
      <c r="H29" s="72"/>
      <c r="I29" s="72" t="s">
        <v>96</v>
      </c>
      <c r="J29" s="72"/>
      <c r="K29" s="72"/>
      <c r="L29" s="72" t="s">
        <v>97</v>
      </c>
      <c r="M29" s="72"/>
      <c r="N29" s="72"/>
      <c r="O29" s="72"/>
      <c r="P29" s="30" t="s">
        <v>48</v>
      </c>
      <c r="Q29" s="30" t="s">
        <v>91</v>
      </c>
      <c r="R29" s="30">
        <v>95</v>
      </c>
      <c r="S29" s="30">
        <v>95</v>
      </c>
      <c r="T29" s="30">
        <v>91.3</v>
      </c>
      <c r="U29" s="32">
        <f t="shared" si="0"/>
        <v>96.10526315789474</v>
      </c>
    </row>
    <row r="30" spans="1:22" ht="22.5" customHeight="1" thickTop="1" thickBot="1" x14ac:dyDescent="0.25">
      <c r="B30" s="8" t="s">
        <v>98</v>
      </c>
      <c r="C30" s="9"/>
      <c r="D30" s="9"/>
      <c r="E30" s="9"/>
      <c r="F30" s="9"/>
      <c r="G30" s="9"/>
      <c r="H30" s="10"/>
      <c r="I30" s="10"/>
      <c r="J30" s="10"/>
      <c r="K30" s="10"/>
      <c r="L30" s="10"/>
      <c r="M30" s="10"/>
      <c r="N30" s="10"/>
      <c r="O30" s="10"/>
      <c r="P30" s="10"/>
      <c r="Q30" s="10"/>
      <c r="R30" s="10"/>
      <c r="S30" s="10"/>
      <c r="T30" s="10"/>
      <c r="U30" s="11"/>
      <c r="V30" s="33"/>
    </row>
    <row r="31" spans="1:22" ht="26.25" customHeight="1" thickTop="1" x14ac:dyDescent="0.2">
      <c r="B31" s="34"/>
      <c r="C31" s="35"/>
      <c r="D31" s="35"/>
      <c r="E31" s="35"/>
      <c r="F31" s="35"/>
      <c r="G31" s="35"/>
      <c r="H31" s="36"/>
      <c r="I31" s="36"/>
      <c r="J31" s="36"/>
      <c r="K31" s="36"/>
      <c r="L31" s="36"/>
      <c r="M31" s="36"/>
      <c r="N31" s="36"/>
      <c r="O31" s="36"/>
      <c r="P31" s="37"/>
      <c r="Q31" s="38"/>
      <c r="R31" s="39" t="s">
        <v>99</v>
      </c>
      <c r="S31" s="22" t="s">
        <v>100</v>
      </c>
      <c r="T31" s="39" t="s">
        <v>101</v>
      </c>
      <c r="U31" s="22" t="s">
        <v>102</v>
      </c>
    </row>
    <row r="32" spans="1:22" ht="26.25" customHeight="1" thickBot="1" x14ac:dyDescent="0.25">
      <c r="B32" s="40"/>
      <c r="C32" s="41"/>
      <c r="D32" s="41"/>
      <c r="E32" s="41"/>
      <c r="F32" s="41"/>
      <c r="G32" s="41"/>
      <c r="H32" s="42"/>
      <c r="I32" s="42"/>
      <c r="J32" s="42"/>
      <c r="K32" s="42"/>
      <c r="L32" s="42"/>
      <c r="M32" s="42"/>
      <c r="N32" s="42"/>
      <c r="O32" s="42"/>
      <c r="P32" s="43"/>
      <c r="Q32" s="44"/>
      <c r="R32" s="45" t="s">
        <v>103</v>
      </c>
      <c r="S32" s="44" t="s">
        <v>103</v>
      </c>
      <c r="T32" s="44" t="s">
        <v>103</v>
      </c>
      <c r="U32" s="44" t="s">
        <v>104</v>
      </c>
    </row>
    <row r="33" spans="2:21" ht="13.5" customHeight="1" thickBot="1" x14ac:dyDescent="0.25">
      <c r="B33" s="65" t="s">
        <v>105</v>
      </c>
      <c r="C33" s="66"/>
      <c r="D33" s="66"/>
      <c r="E33" s="46"/>
      <c r="F33" s="46"/>
      <c r="G33" s="46"/>
      <c r="H33" s="47"/>
      <c r="I33" s="47"/>
      <c r="J33" s="47"/>
      <c r="K33" s="47"/>
      <c r="L33" s="47"/>
      <c r="M33" s="47"/>
      <c r="N33" s="47"/>
      <c r="O33" s="47"/>
      <c r="P33" s="48"/>
      <c r="Q33" s="48"/>
      <c r="R33" s="49">
        <f>6260.142448</f>
        <v>6260.1424479999996</v>
      </c>
      <c r="S33" s="49">
        <f>3550.644393</f>
        <v>3550.644393</v>
      </c>
      <c r="T33" s="49">
        <f>3360.36596098999</f>
        <v>3360.3659609899901</v>
      </c>
      <c r="U33" s="50">
        <f>+IF(ISERR(T33/S33*100),"N/A",T33/S33*100)</f>
        <v>94.641016926810835</v>
      </c>
    </row>
    <row r="34" spans="2:21" ht="13.5" customHeight="1" thickBot="1" x14ac:dyDescent="0.25">
      <c r="B34" s="67" t="s">
        <v>106</v>
      </c>
      <c r="C34" s="68"/>
      <c r="D34" s="68"/>
      <c r="E34" s="51"/>
      <c r="F34" s="51"/>
      <c r="G34" s="51"/>
      <c r="H34" s="52"/>
      <c r="I34" s="52"/>
      <c r="J34" s="52"/>
      <c r="K34" s="52"/>
      <c r="L34" s="52"/>
      <c r="M34" s="52"/>
      <c r="N34" s="52"/>
      <c r="O34" s="52"/>
      <c r="P34" s="53"/>
      <c r="Q34" s="53"/>
      <c r="R34" s="49">
        <f>6103.399871</f>
        <v>6103.3998709999996</v>
      </c>
      <c r="S34" s="49">
        <f>4182.127908</f>
        <v>4182.1279080000004</v>
      </c>
      <c r="T34" s="49">
        <f>3360.36596098999</f>
        <v>3360.3659609899901</v>
      </c>
      <c r="U34" s="50">
        <f>+IF(ISERR(T34/S34*100),"N/A",T34/S34*100)</f>
        <v>80.350626162388281</v>
      </c>
    </row>
    <row r="35" spans="2:21" ht="14.85" customHeight="1" thickTop="1" thickBot="1" x14ac:dyDescent="0.25">
      <c r="B35" s="8" t="s">
        <v>107</v>
      </c>
      <c r="C35" s="9"/>
      <c r="D35" s="9"/>
      <c r="E35" s="9"/>
      <c r="F35" s="9"/>
      <c r="G35" s="9"/>
      <c r="H35" s="10"/>
      <c r="I35" s="10"/>
      <c r="J35" s="10"/>
      <c r="K35" s="10"/>
      <c r="L35" s="10"/>
      <c r="M35" s="10"/>
      <c r="N35" s="10"/>
      <c r="O35" s="10"/>
      <c r="P35" s="10"/>
      <c r="Q35" s="10"/>
      <c r="R35" s="10"/>
      <c r="S35" s="10"/>
      <c r="T35" s="10"/>
      <c r="U35" s="11"/>
    </row>
    <row r="36" spans="2:21" ht="44.25" customHeight="1" thickTop="1" x14ac:dyDescent="0.2">
      <c r="B36" s="69" t="s">
        <v>108</v>
      </c>
      <c r="C36" s="70"/>
      <c r="D36" s="70"/>
      <c r="E36" s="70"/>
      <c r="F36" s="70"/>
      <c r="G36" s="70"/>
      <c r="H36" s="70"/>
      <c r="I36" s="70"/>
      <c r="J36" s="70"/>
      <c r="K36" s="70"/>
      <c r="L36" s="70"/>
      <c r="M36" s="70"/>
      <c r="N36" s="70"/>
      <c r="O36" s="70"/>
      <c r="P36" s="70"/>
      <c r="Q36" s="70"/>
      <c r="R36" s="70"/>
      <c r="S36" s="70"/>
      <c r="T36" s="70"/>
      <c r="U36" s="71"/>
    </row>
    <row r="37" spans="2:21" ht="34.5" customHeight="1" x14ac:dyDescent="0.2">
      <c r="B37" s="59" t="s">
        <v>109</v>
      </c>
      <c r="C37" s="60"/>
      <c r="D37" s="60"/>
      <c r="E37" s="60"/>
      <c r="F37" s="60"/>
      <c r="G37" s="60"/>
      <c r="H37" s="60"/>
      <c r="I37" s="60"/>
      <c r="J37" s="60"/>
      <c r="K37" s="60"/>
      <c r="L37" s="60"/>
      <c r="M37" s="60"/>
      <c r="N37" s="60"/>
      <c r="O37" s="60"/>
      <c r="P37" s="60"/>
      <c r="Q37" s="60"/>
      <c r="R37" s="60"/>
      <c r="S37" s="60"/>
      <c r="T37" s="60"/>
      <c r="U37" s="61"/>
    </row>
    <row r="38" spans="2:21" ht="34.5" customHeight="1" x14ac:dyDescent="0.2">
      <c r="B38" s="59" t="s">
        <v>110</v>
      </c>
      <c r="C38" s="60"/>
      <c r="D38" s="60"/>
      <c r="E38" s="60"/>
      <c r="F38" s="60"/>
      <c r="G38" s="60"/>
      <c r="H38" s="60"/>
      <c r="I38" s="60"/>
      <c r="J38" s="60"/>
      <c r="K38" s="60"/>
      <c r="L38" s="60"/>
      <c r="M38" s="60"/>
      <c r="N38" s="60"/>
      <c r="O38" s="60"/>
      <c r="P38" s="60"/>
      <c r="Q38" s="60"/>
      <c r="R38" s="60"/>
      <c r="S38" s="60"/>
      <c r="T38" s="60"/>
      <c r="U38" s="61"/>
    </row>
    <row r="39" spans="2:21" ht="34.5" customHeight="1" x14ac:dyDescent="0.2">
      <c r="B39" s="59" t="s">
        <v>111</v>
      </c>
      <c r="C39" s="60"/>
      <c r="D39" s="60"/>
      <c r="E39" s="60"/>
      <c r="F39" s="60"/>
      <c r="G39" s="60"/>
      <c r="H39" s="60"/>
      <c r="I39" s="60"/>
      <c r="J39" s="60"/>
      <c r="K39" s="60"/>
      <c r="L39" s="60"/>
      <c r="M39" s="60"/>
      <c r="N39" s="60"/>
      <c r="O39" s="60"/>
      <c r="P39" s="60"/>
      <c r="Q39" s="60"/>
      <c r="R39" s="60"/>
      <c r="S39" s="60"/>
      <c r="T39" s="60"/>
      <c r="U39" s="61"/>
    </row>
    <row r="40" spans="2:21" ht="34.5" customHeight="1" x14ac:dyDescent="0.2">
      <c r="B40" s="59" t="s">
        <v>112</v>
      </c>
      <c r="C40" s="60"/>
      <c r="D40" s="60"/>
      <c r="E40" s="60"/>
      <c r="F40" s="60"/>
      <c r="G40" s="60"/>
      <c r="H40" s="60"/>
      <c r="I40" s="60"/>
      <c r="J40" s="60"/>
      <c r="K40" s="60"/>
      <c r="L40" s="60"/>
      <c r="M40" s="60"/>
      <c r="N40" s="60"/>
      <c r="O40" s="60"/>
      <c r="P40" s="60"/>
      <c r="Q40" s="60"/>
      <c r="R40" s="60"/>
      <c r="S40" s="60"/>
      <c r="T40" s="60"/>
      <c r="U40" s="61"/>
    </row>
    <row r="41" spans="2:21" ht="35.25" customHeight="1" x14ac:dyDescent="0.2">
      <c r="B41" s="59" t="s">
        <v>113</v>
      </c>
      <c r="C41" s="60"/>
      <c r="D41" s="60"/>
      <c r="E41" s="60"/>
      <c r="F41" s="60"/>
      <c r="G41" s="60"/>
      <c r="H41" s="60"/>
      <c r="I41" s="60"/>
      <c r="J41" s="60"/>
      <c r="K41" s="60"/>
      <c r="L41" s="60"/>
      <c r="M41" s="60"/>
      <c r="N41" s="60"/>
      <c r="O41" s="60"/>
      <c r="P41" s="60"/>
      <c r="Q41" s="60"/>
      <c r="R41" s="60"/>
      <c r="S41" s="60"/>
      <c r="T41" s="60"/>
      <c r="U41" s="61"/>
    </row>
    <row r="42" spans="2:21" ht="34.5" customHeight="1" x14ac:dyDescent="0.2">
      <c r="B42" s="59" t="s">
        <v>114</v>
      </c>
      <c r="C42" s="60"/>
      <c r="D42" s="60"/>
      <c r="E42" s="60"/>
      <c r="F42" s="60"/>
      <c r="G42" s="60"/>
      <c r="H42" s="60"/>
      <c r="I42" s="60"/>
      <c r="J42" s="60"/>
      <c r="K42" s="60"/>
      <c r="L42" s="60"/>
      <c r="M42" s="60"/>
      <c r="N42" s="60"/>
      <c r="O42" s="60"/>
      <c r="P42" s="60"/>
      <c r="Q42" s="60"/>
      <c r="R42" s="60"/>
      <c r="S42" s="60"/>
      <c r="T42" s="60"/>
      <c r="U42" s="61"/>
    </row>
    <row r="43" spans="2:21" ht="34.5" customHeight="1" x14ac:dyDescent="0.2">
      <c r="B43" s="59" t="s">
        <v>115</v>
      </c>
      <c r="C43" s="60"/>
      <c r="D43" s="60"/>
      <c r="E43" s="60"/>
      <c r="F43" s="60"/>
      <c r="G43" s="60"/>
      <c r="H43" s="60"/>
      <c r="I43" s="60"/>
      <c r="J43" s="60"/>
      <c r="K43" s="60"/>
      <c r="L43" s="60"/>
      <c r="M43" s="60"/>
      <c r="N43" s="60"/>
      <c r="O43" s="60"/>
      <c r="P43" s="60"/>
      <c r="Q43" s="60"/>
      <c r="R43" s="60"/>
      <c r="S43" s="60"/>
      <c r="T43" s="60"/>
      <c r="U43" s="61"/>
    </row>
    <row r="44" spans="2:21" ht="34.5" customHeight="1" x14ac:dyDescent="0.2">
      <c r="B44" s="59" t="s">
        <v>116</v>
      </c>
      <c r="C44" s="60"/>
      <c r="D44" s="60"/>
      <c r="E44" s="60"/>
      <c r="F44" s="60"/>
      <c r="G44" s="60"/>
      <c r="H44" s="60"/>
      <c r="I44" s="60"/>
      <c r="J44" s="60"/>
      <c r="K44" s="60"/>
      <c r="L44" s="60"/>
      <c r="M44" s="60"/>
      <c r="N44" s="60"/>
      <c r="O44" s="60"/>
      <c r="P44" s="60"/>
      <c r="Q44" s="60"/>
      <c r="R44" s="60"/>
      <c r="S44" s="60"/>
      <c r="T44" s="60"/>
      <c r="U44" s="61"/>
    </row>
    <row r="45" spans="2:21" ht="34.5" customHeight="1" x14ac:dyDescent="0.2">
      <c r="B45" s="59" t="s">
        <v>117</v>
      </c>
      <c r="C45" s="60"/>
      <c r="D45" s="60"/>
      <c r="E45" s="60"/>
      <c r="F45" s="60"/>
      <c r="G45" s="60"/>
      <c r="H45" s="60"/>
      <c r="I45" s="60"/>
      <c r="J45" s="60"/>
      <c r="K45" s="60"/>
      <c r="L45" s="60"/>
      <c r="M45" s="60"/>
      <c r="N45" s="60"/>
      <c r="O45" s="60"/>
      <c r="P45" s="60"/>
      <c r="Q45" s="60"/>
      <c r="R45" s="60"/>
      <c r="S45" s="60"/>
      <c r="T45" s="60"/>
      <c r="U45" s="61"/>
    </row>
    <row r="46" spans="2:21" ht="34.5" customHeight="1" x14ac:dyDescent="0.2">
      <c r="B46" s="59" t="s">
        <v>118</v>
      </c>
      <c r="C46" s="60"/>
      <c r="D46" s="60"/>
      <c r="E46" s="60"/>
      <c r="F46" s="60"/>
      <c r="G46" s="60"/>
      <c r="H46" s="60"/>
      <c r="I46" s="60"/>
      <c r="J46" s="60"/>
      <c r="K46" s="60"/>
      <c r="L46" s="60"/>
      <c r="M46" s="60"/>
      <c r="N46" s="60"/>
      <c r="O46" s="60"/>
      <c r="P46" s="60"/>
      <c r="Q46" s="60"/>
      <c r="R46" s="60"/>
      <c r="S46" s="60"/>
      <c r="T46" s="60"/>
      <c r="U46" s="61"/>
    </row>
    <row r="47" spans="2:21" ht="75.599999999999994" customHeight="1" x14ac:dyDescent="0.2">
      <c r="B47" s="59" t="s">
        <v>119</v>
      </c>
      <c r="C47" s="60"/>
      <c r="D47" s="60"/>
      <c r="E47" s="60"/>
      <c r="F47" s="60"/>
      <c r="G47" s="60"/>
      <c r="H47" s="60"/>
      <c r="I47" s="60"/>
      <c r="J47" s="60"/>
      <c r="K47" s="60"/>
      <c r="L47" s="60"/>
      <c r="M47" s="60"/>
      <c r="N47" s="60"/>
      <c r="O47" s="60"/>
      <c r="P47" s="60"/>
      <c r="Q47" s="60"/>
      <c r="R47" s="60"/>
      <c r="S47" s="60"/>
      <c r="T47" s="60"/>
      <c r="U47" s="61"/>
    </row>
    <row r="48" spans="2:21" ht="68.849999999999994" customHeight="1" x14ac:dyDescent="0.2">
      <c r="B48" s="59" t="s">
        <v>120</v>
      </c>
      <c r="C48" s="60"/>
      <c r="D48" s="60"/>
      <c r="E48" s="60"/>
      <c r="F48" s="60"/>
      <c r="G48" s="60"/>
      <c r="H48" s="60"/>
      <c r="I48" s="60"/>
      <c r="J48" s="60"/>
      <c r="K48" s="60"/>
      <c r="L48" s="60"/>
      <c r="M48" s="60"/>
      <c r="N48" s="60"/>
      <c r="O48" s="60"/>
      <c r="P48" s="60"/>
      <c r="Q48" s="60"/>
      <c r="R48" s="60"/>
      <c r="S48" s="60"/>
      <c r="T48" s="60"/>
      <c r="U48" s="61"/>
    </row>
    <row r="49" spans="2:21" ht="98.25" customHeight="1" x14ac:dyDescent="0.2">
      <c r="B49" s="59" t="s">
        <v>121</v>
      </c>
      <c r="C49" s="60"/>
      <c r="D49" s="60"/>
      <c r="E49" s="60"/>
      <c r="F49" s="60"/>
      <c r="G49" s="60"/>
      <c r="H49" s="60"/>
      <c r="I49" s="60"/>
      <c r="J49" s="60"/>
      <c r="K49" s="60"/>
      <c r="L49" s="60"/>
      <c r="M49" s="60"/>
      <c r="N49" s="60"/>
      <c r="O49" s="60"/>
      <c r="P49" s="60"/>
      <c r="Q49" s="60"/>
      <c r="R49" s="60"/>
      <c r="S49" s="60"/>
      <c r="T49" s="60"/>
      <c r="U49" s="61"/>
    </row>
    <row r="50" spans="2:21" ht="62.1" customHeight="1" x14ac:dyDescent="0.2">
      <c r="B50" s="59" t="s">
        <v>122</v>
      </c>
      <c r="C50" s="60"/>
      <c r="D50" s="60"/>
      <c r="E50" s="60"/>
      <c r="F50" s="60"/>
      <c r="G50" s="60"/>
      <c r="H50" s="60"/>
      <c r="I50" s="60"/>
      <c r="J50" s="60"/>
      <c r="K50" s="60"/>
      <c r="L50" s="60"/>
      <c r="M50" s="60"/>
      <c r="N50" s="60"/>
      <c r="O50" s="60"/>
      <c r="P50" s="60"/>
      <c r="Q50" s="60"/>
      <c r="R50" s="60"/>
      <c r="S50" s="60"/>
      <c r="T50" s="60"/>
      <c r="U50" s="61"/>
    </row>
    <row r="51" spans="2:21" ht="65.45" customHeight="1" x14ac:dyDescent="0.2">
      <c r="B51" s="59" t="s">
        <v>123</v>
      </c>
      <c r="C51" s="60"/>
      <c r="D51" s="60"/>
      <c r="E51" s="60"/>
      <c r="F51" s="60"/>
      <c r="G51" s="60"/>
      <c r="H51" s="60"/>
      <c r="I51" s="60"/>
      <c r="J51" s="60"/>
      <c r="K51" s="60"/>
      <c r="L51" s="60"/>
      <c r="M51" s="60"/>
      <c r="N51" s="60"/>
      <c r="O51" s="60"/>
      <c r="P51" s="60"/>
      <c r="Q51" s="60"/>
      <c r="R51" s="60"/>
      <c r="S51" s="60"/>
      <c r="T51" s="60"/>
      <c r="U51" s="61"/>
    </row>
    <row r="52" spans="2:21" ht="51.6" customHeight="1" x14ac:dyDescent="0.2">
      <c r="B52" s="59" t="s">
        <v>124</v>
      </c>
      <c r="C52" s="60"/>
      <c r="D52" s="60"/>
      <c r="E52" s="60"/>
      <c r="F52" s="60"/>
      <c r="G52" s="60"/>
      <c r="H52" s="60"/>
      <c r="I52" s="60"/>
      <c r="J52" s="60"/>
      <c r="K52" s="60"/>
      <c r="L52" s="60"/>
      <c r="M52" s="60"/>
      <c r="N52" s="60"/>
      <c r="O52" s="60"/>
      <c r="P52" s="60"/>
      <c r="Q52" s="60"/>
      <c r="R52" s="60"/>
      <c r="S52" s="60"/>
      <c r="T52" s="60"/>
      <c r="U52" s="61"/>
    </row>
    <row r="53" spans="2:21" ht="63.6" customHeight="1" x14ac:dyDescent="0.2">
      <c r="B53" s="59" t="s">
        <v>125</v>
      </c>
      <c r="C53" s="60"/>
      <c r="D53" s="60"/>
      <c r="E53" s="60"/>
      <c r="F53" s="60"/>
      <c r="G53" s="60"/>
      <c r="H53" s="60"/>
      <c r="I53" s="60"/>
      <c r="J53" s="60"/>
      <c r="K53" s="60"/>
      <c r="L53" s="60"/>
      <c r="M53" s="60"/>
      <c r="N53" s="60"/>
      <c r="O53" s="60"/>
      <c r="P53" s="60"/>
      <c r="Q53" s="60"/>
      <c r="R53" s="60"/>
      <c r="S53" s="60"/>
      <c r="T53" s="60"/>
      <c r="U53" s="61"/>
    </row>
    <row r="54" spans="2:21" ht="71.45" customHeight="1" x14ac:dyDescent="0.2">
      <c r="B54" s="59" t="s">
        <v>126</v>
      </c>
      <c r="C54" s="60"/>
      <c r="D54" s="60"/>
      <c r="E54" s="60"/>
      <c r="F54" s="60"/>
      <c r="G54" s="60"/>
      <c r="H54" s="60"/>
      <c r="I54" s="60"/>
      <c r="J54" s="60"/>
      <c r="K54" s="60"/>
      <c r="L54" s="60"/>
      <c r="M54" s="60"/>
      <c r="N54" s="60"/>
      <c r="O54" s="60"/>
      <c r="P54" s="60"/>
      <c r="Q54" s="60"/>
      <c r="R54" s="60"/>
      <c r="S54" s="60"/>
      <c r="T54" s="60"/>
      <c r="U54" s="61"/>
    </row>
    <row r="55" spans="2:21" ht="65.099999999999994" customHeight="1" thickBot="1" x14ac:dyDescent="0.25">
      <c r="B55" s="62" t="s">
        <v>127</v>
      </c>
      <c r="C55" s="63"/>
      <c r="D55" s="63"/>
      <c r="E55" s="63"/>
      <c r="F55" s="63"/>
      <c r="G55" s="63"/>
      <c r="H55" s="63"/>
      <c r="I55" s="63"/>
      <c r="J55" s="63"/>
      <c r="K55" s="63"/>
      <c r="L55" s="63"/>
      <c r="M55" s="63"/>
      <c r="N55" s="63"/>
      <c r="O55" s="63"/>
      <c r="P55" s="63"/>
      <c r="Q55" s="63"/>
      <c r="R55" s="63"/>
      <c r="S55" s="63"/>
      <c r="T55" s="63"/>
      <c r="U55" s="64"/>
    </row>
  </sheetData>
  <mergeCells count="10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C24:H24"/>
    <mergeCell ref="I24:K24"/>
    <mergeCell ref="L24:O24"/>
    <mergeCell ref="C25:H25"/>
    <mergeCell ref="I25:K25"/>
    <mergeCell ref="L25:O25"/>
    <mergeCell ref="C26:H26"/>
    <mergeCell ref="I26:K26"/>
    <mergeCell ref="L26:O26"/>
    <mergeCell ref="C27:H27"/>
    <mergeCell ref="I27:K27"/>
    <mergeCell ref="L27:O27"/>
    <mergeCell ref="C28:H28"/>
    <mergeCell ref="I28:K28"/>
    <mergeCell ref="L28:O28"/>
    <mergeCell ref="C29:H29"/>
    <mergeCell ref="I29:K29"/>
    <mergeCell ref="L29:O29"/>
    <mergeCell ref="B45:U45"/>
    <mergeCell ref="B33:D33"/>
    <mergeCell ref="B34:D34"/>
    <mergeCell ref="B36:U36"/>
    <mergeCell ref="B37:U37"/>
    <mergeCell ref="B38:U38"/>
    <mergeCell ref="B39:U39"/>
    <mergeCell ref="B40:U40"/>
    <mergeCell ref="B41:U41"/>
    <mergeCell ref="B42:U42"/>
    <mergeCell ref="B43:U43"/>
    <mergeCell ref="B44:U44"/>
    <mergeCell ref="B52:U52"/>
    <mergeCell ref="B53:U53"/>
    <mergeCell ref="B54:U54"/>
    <mergeCell ref="B55:U55"/>
    <mergeCell ref="B46:U46"/>
    <mergeCell ref="B47:U47"/>
    <mergeCell ref="B48:U48"/>
    <mergeCell ref="B49:U49"/>
    <mergeCell ref="B50:U50"/>
    <mergeCell ref="B51:U51"/>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584</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128</v>
      </c>
      <c r="D4" s="99" t="s">
        <v>129</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130</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131</v>
      </c>
      <c r="D11" s="73"/>
      <c r="E11" s="73"/>
      <c r="F11" s="73"/>
      <c r="G11" s="73"/>
      <c r="H11" s="73"/>
      <c r="I11" s="73" t="s">
        <v>56</v>
      </c>
      <c r="J11" s="73"/>
      <c r="K11" s="73"/>
      <c r="L11" s="73" t="s">
        <v>57</v>
      </c>
      <c r="M11" s="73"/>
      <c r="N11" s="73"/>
      <c r="O11" s="73"/>
      <c r="P11" s="27" t="s">
        <v>132</v>
      </c>
      <c r="Q11" s="27" t="s">
        <v>43</v>
      </c>
      <c r="R11" s="54">
        <v>78.19</v>
      </c>
      <c r="S11" s="54" t="s">
        <v>44</v>
      </c>
      <c r="T11" s="54" t="s">
        <v>44</v>
      </c>
      <c r="U11" s="28" t="str">
        <f>IF(ISERR(T11/S11*100),"N/A",T11/S11*100)</f>
        <v>N/A</v>
      </c>
    </row>
    <row r="12" spans="1:34" ht="75" customHeight="1" thickBot="1" x14ac:dyDescent="0.25">
      <c r="A12" s="25"/>
      <c r="B12" s="29" t="s">
        <v>45</v>
      </c>
      <c r="C12" s="72" t="s">
        <v>45</v>
      </c>
      <c r="D12" s="72"/>
      <c r="E12" s="72"/>
      <c r="F12" s="72"/>
      <c r="G12" s="72"/>
      <c r="H12" s="72"/>
      <c r="I12" s="72" t="s">
        <v>133</v>
      </c>
      <c r="J12" s="72"/>
      <c r="K12" s="72"/>
      <c r="L12" s="72" t="s">
        <v>134</v>
      </c>
      <c r="M12" s="72"/>
      <c r="N12" s="72"/>
      <c r="O12" s="72"/>
      <c r="P12" s="30" t="s">
        <v>135</v>
      </c>
      <c r="Q12" s="30" t="s">
        <v>43</v>
      </c>
      <c r="R12" s="31">
        <v>0.9</v>
      </c>
      <c r="S12" s="31" t="s">
        <v>44</v>
      </c>
      <c r="T12" s="31" t="s">
        <v>44</v>
      </c>
      <c r="U12" s="32" t="str">
        <f>IF(ISERR((S12-T12)*100/S12+100),"N/A",(S12-T12)*100/S12+100)</f>
        <v>N/A</v>
      </c>
    </row>
    <row r="13" spans="1:34" ht="75" customHeight="1" thickTop="1" thickBot="1" x14ac:dyDescent="0.25">
      <c r="A13" s="25"/>
      <c r="B13" s="26" t="s">
        <v>62</v>
      </c>
      <c r="C13" s="73" t="s">
        <v>136</v>
      </c>
      <c r="D13" s="73"/>
      <c r="E13" s="73"/>
      <c r="F13" s="73"/>
      <c r="G13" s="73"/>
      <c r="H13" s="73"/>
      <c r="I13" s="73" t="s">
        <v>137</v>
      </c>
      <c r="J13" s="73"/>
      <c r="K13" s="73"/>
      <c r="L13" s="73" t="s">
        <v>138</v>
      </c>
      <c r="M13" s="73"/>
      <c r="N13" s="73"/>
      <c r="O13" s="73"/>
      <c r="P13" s="27" t="s">
        <v>48</v>
      </c>
      <c r="Q13" s="27" t="s">
        <v>139</v>
      </c>
      <c r="R13" s="27">
        <v>7.55</v>
      </c>
      <c r="S13" s="27">
        <v>5.76</v>
      </c>
      <c r="T13" s="27">
        <v>6.2</v>
      </c>
      <c r="U13" s="28">
        <f t="shared" ref="U13:U24" si="0">IF(ISERR(T13/S13*100),"N/A",T13/S13*100)</f>
        <v>107.6388888888889</v>
      </c>
    </row>
    <row r="14" spans="1:34" ht="75" customHeight="1" thickTop="1" x14ac:dyDescent="0.2">
      <c r="A14" s="25"/>
      <c r="B14" s="26" t="s">
        <v>71</v>
      </c>
      <c r="C14" s="73" t="s">
        <v>140</v>
      </c>
      <c r="D14" s="73"/>
      <c r="E14" s="73"/>
      <c r="F14" s="73"/>
      <c r="G14" s="73"/>
      <c r="H14" s="73"/>
      <c r="I14" s="73" t="s">
        <v>141</v>
      </c>
      <c r="J14" s="73"/>
      <c r="K14" s="73"/>
      <c r="L14" s="73" t="s">
        <v>142</v>
      </c>
      <c r="M14" s="73"/>
      <c r="N14" s="73"/>
      <c r="O14" s="73"/>
      <c r="P14" s="27" t="s">
        <v>48</v>
      </c>
      <c r="Q14" s="27" t="s">
        <v>143</v>
      </c>
      <c r="R14" s="27">
        <v>97</v>
      </c>
      <c r="S14" s="27">
        <v>97</v>
      </c>
      <c r="T14" s="27">
        <v>89.97</v>
      </c>
      <c r="U14" s="28">
        <f t="shared" si="0"/>
        <v>92.75257731958763</v>
      </c>
    </row>
    <row r="15" spans="1:34" ht="75" customHeight="1" x14ac:dyDescent="0.2">
      <c r="A15" s="25"/>
      <c r="B15" s="29" t="s">
        <v>45</v>
      </c>
      <c r="C15" s="72" t="s">
        <v>144</v>
      </c>
      <c r="D15" s="72"/>
      <c r="E15" s="72"/>
      <c r="F15" s="72"/>
      <c r="G15" s="72"/>
      <c r="H15" s="72"/>
      <c r="I15" s="72" t="s">
        <v>145</v>
      </c>
      <c r="J15" s="72"/>
      <c r="K15" s="72"/>
      <c r="L15" s="72" t="s">
        <v>146</v>
      </c>
      <c r="M15" s="72"/>
      <c r="N15" s="72"/>
      <c r="O15" s="72"/>
      <c r="P15" s="30" t="s">
        <v>48</v>
      </c>
      <c r="Q15" s="30" t="s">
        <v>143</v>
      </c>
      <c r="R15" s="30">
        <v>97</v>
      </c>
      <c r="S15" s="30">
        <v>97</v>
      </c>
      <c r="T15" s="30">
        <v>87.18</v>
      </c>
      <c r="U15" s="32">
        <f t="shared" si="0"/>
        <v>89.876288659793829</v>
      </c>
    </row>
    <row r="16" spans="1:34" ht="75" customHeight="1" x14ac:dyDescent="0.2">
      <c r="A16" s="25"/>
      <c r="B16" s="29" t="s">
        <v>45</v>
      </c>
      <c r="C16" s="72" t="s">
        <v>147</v>
      </c>
      <c r="D16" s="72"/>
      <c r="E16" s="72"/>
      <c r="F16" s="72"/>
      <c r="G16" s="72"/>
      <c r="H16" s="72"/>
      <c r="I16" s="72" t="s">
        <v>148</v>
      </c>
      <c r="J16" s="72"/>
      <c r="K16" s="72"/>
      <c r="L16" s="72" t="s">
        <v>149</v>
      </c>
      <c r="M16" s="72"/>
      <c r="N16" s="72"/>
      <c r="O16" s="72"/>
      <c r="P16" s="30" t="s">
        <v>48</v>
      </c>
      <c r="Q16" s="30" t="s">
        <v>139</v>
      </c>
      <c r="R16" s="30">
        <v>20</v>
      </c>
      <c r="S16" s="30">
        <v>26</v>
      </c>
      <c r="T16" s="30">
        <v>26.92</v>
      </c>
      <c r="U16" s="32">
        <f t="shared" si="0"/>
        <v>103.53846153846153</v>
      </c>
    </row>
    <row r="17" spans="1:22" ht="75" customHeight="1" x14ac:dyDescent="0.2">
      <c r="A17" s="25"/>
      <c r="B17" s="29" t="s">
        <v>45</v>
      </c>
      <c r="C17" s="72" t="s">
        <v>150</v>
      </c>
      <c r="D17" s="72"/>
      <c r="E17" s="72"/>
      <c r="F17" s="72"/>
      <c r="G17" s="72"/>
      <c r="H17" s="72"/>
      <c r="I17" s="72" t="s">
        <v>151</v>
      </c>
      <c r="J17" s="72"/>
      <c r="K17" s="72"/>
      <c r="L17" s="72" t="s">
        <v>152</v>
      </c>
      <c r="M17" s="72"/>
      <c r="N17" s="72"/>
      <c r="O17" s="72"/>
      <c r="P17" s="30" t="s">
        <v>48</v>
      </c>
      <c r="Q17" s="30" t="s">
        <v>153</v>
      </c>
      <c r="R17" s="30">
        <v>90</v>
      </c>
      <c r="S17" s="30">
        <v>90</v>
      </c>
      <c r="T17" s="30">
        <v>91</v>
      </c>
      <c r="U17" s="32">
        <f t="shared" si="0"/>
        <v>101.11111111111111</v>
      </c>
    </row>
    <row r="18" spans="1:22" ht="75" customHeight="1" thickBot="1" x14ac:dyDescent="0.25">
      <c r="A18" s="25"/>
      <c r="B18" s="29" t="s">
        <v>45</v>
      </c>
      <c r="C18" s="72" t="s">
        <v>154</v>
      </c>
      <c r="D18" s="72"/>
      <c r="E18" s="72"/>
      <c r="F18" s="72"/>
      <c r="G18" s="72"/>
      <c r="H18" s="72"/>
      <c r="I18" s="72" t="s">
        <v>155</v>
      </c>
      <c r="J18" s="72"/>
      <c r="K18" s="72"/>
      <c r="L18" s="72" t="s">
        <v>156</v>
      </c>
      <c r="M18" s="72"/>
      <c r="N18" s="72"/>
      <c r="O18" s="72"/>
      <c r="P18" s="30" t="s">
        <v>48</v>
      </c>
      <c r="Q18" s="30" t="s">
        <v>139</v>
      </c>
      <c r="R18" s="30">
        <v>95</v>
      </c>
      <c r="S18" s="30">
        <v>95</v>
      </c>
      <c r="T18" s="30">
        <v>97.8</v>
      </c>
      <c r="U18" s="32">
        <f t="shared" si="0"/>
        <v>102.94736842105263</v>
      </c>
    </row>
    <row r="19" spans="1:22" ht="75" customHeight="1" thickTop="1" x14ac:dyDescent="0.2">
      <c r="A19" s="25"/>
      <c r="B19" s="26" t="s">
        <v>87</v>
      </c>
      <c r="C19" s="73" t="s">
        <v>157</v>
      </c>
      <c r="D19" s="73"/>
      <c r="E19" s="73"/>
      <c r="F19" s="73"/>
      <c r="G19" s="73"/>
      <c r="H19" s="73"/>
      <c r="I19" s="73" t="s">
        <v>158</v>
      </c>
      <c r="J19" s="73"/>
      <c r="K19" s="73"/>
      <c r="L19" s="73" t="s">
        <v>159</v>
      </c>
      <c r="M19" s="73"/>
      <c r="N19" s="73"/>
      <c r="O19" s="73"/>
      <c r="P19" s="27" t="s">
        <v>48</v>
      </c>
      <c r="Q19" s="27" t="s">
        <v>91</v>
      </c>
      <c r="R19" s="27">
        <v>98</v>
      </c>
      <c r="S19" s="27">
        <v>98</v>
      </c>
      <c r="T19" s="27">
        <v>98.91</v>
      </c>
      <c r="U19" s="28">
        <f t="shared" si="0"/>
        <v>100.92857142857143</v>
      </c>
    </row>
    <row r="20" spans="1:22" ht="75" customHeight="1" x14ac:dyDescent="0.2">
      <c r="A20" s="25"/>
      <c r="B20" s="29" t="s">
        <v>45</v>
      </c>
      <c r="C20" s="72" t="s">
        <v>160</v>
      </c>
      <c r="D20" s="72"/>
      <c r="E20" s="72"/>
      <c r="F20" s="72"/>
      <c r="G20" s="72"/>
      <c r="H20" s="72"/>
      <c r="I20" s="72" t="s">
        <v>161</v>
      </c>
      <c r="J20" s="72"/>
      <c r="K20" s="72"/>
      <c r="L20" s="72" t="s">
        <v>162</v>
      </c>
      <c r="M20" s="72"/>
      <c r="N20" s="72"/>
      <c r="O20" s="72"/>
      <c r="P20" s="30" t="s">
        <v>48</v>
      </c>
      <c r="Q20" s="30" t="s">
        <v>91</v>
      </c>
      <c r="R20" s="30">
        <v>98</v>
      </c>
      <c r="S20" s="30">
        <v>98</v>
      </c>
      <c r="T20" s="30">
        <v>98.96</v>
      </c>
      <c r="U20" s="32">
        <f t="shared" si="0"/>
        <v>100.97959183673468</v>
      </c>
    </row>
    <row r="21" spans="1:22" ht="75" customHeight="1" x14ac:dyDescent="0.2">
      <c r="A21" s="25"/>
      <c r="B21" s="29" t="s">
        <v>45</v>
      </c>
      <c r="C21" s="72" t="s">
        <v>163</v>
      </c>
      <c r="D21" s="72"/>
      <c r="E21" s="72"/>
      <c r="F21" s="72"/>
      <c r="G21" s="72"/>
      <c r="H21" s="72"/>
      <c r="I21" s="72" t="s">
        <v>164</v>
      </c>
      <c r="J21" s="72"/>
      <c r="K21" s="72"/>
      <c r="L21" s="72" t="s">
        <v>165</v>
      </c>
      <c r="M21" s="72"/>
      <c r="N21" s="72"/>
      <c r="O21" s="72"/>
      <c r="P21" s="30" t="s">
        <v>48</v>
      </c>
      <c r="Q21" s="30" t="s">
        <v>91</v>
      </c>
      <c r="R21" s="30">
        <v>90</v>
      </c>
      <c r="S21" s="30">
        <v>68</v>
      </c>
      <c r="T21" s="30">
        <v>70.150000000000006</v>
      </c>
      <c r="U21" s="32">
        <f t="shared" si="0"/>
        <v>103.16176470588236</v>
      </c>
    </row>
    <row r="22" spans="1:22" ht="75" customHeight="1" x14ac:dyDescent="0.2">
      <c r="A22" s="25"/>
      <c r="B22" s="29" t="s">
        <v>45</v>
      </c>
      <c r="C22" s="72" t="s">
        <v>166</v>
      </c>
      <c r="D22" s="72"/>
      <c r="E22" s="72"/>
      <c r="F22" s="72"/>
      <c r="G22" s="72"/>
      <c r="H22" s="72"/>
      <c r="I22" s="72" t="s">
        <v>167</v>
      </c>
      <c r="J22" s="72"/>
      <c r="K22" s="72"/>
      <c r="L22" s="72" t="s">
        <v>168</v>
      </c>
      <c r="M22" s="72"/>
      <c r="N22" s="72"/>
      <c r="O22" s="72"/>
      <c r="P22" s="30" t="s">
        <v>48</v>
      </c>
      <c r="Q22" s="30" t="s">
        <v>91</v>
      </c>
      <c r="R22" s="30">
        <v>90</v>
      </c>
      <c r="S22" s="30">
        <v>78</v>
      </c>
      <c r="T22" s="30">
        <v>83.65</v>
      </c>
      <c r="U22" s="32">
        <f t="shared" si="0"/>
        <v>107.24358974358974</v>
      </c>
    </row>
    <row r="23" spans="1:22" ht="75" customHeight="1" x14ac:dyDescent="0.2">
      <c r="A23" s="25"/>
      <c r="B23" s="29" t="s">
        <v>45</v>
      </c>
      <c r="C23" s="72" t="s">
        <v>169</v>
      </c>
      <c r="D23" s="72"/>
      <c r="E23" s="72"/>
      <c r="F23" s="72"/>
      <c r="G23" s="72"/>
      <c r="H23" s="72"/>
      <c r="I23" s="72" t="s">
        <v>170</v>
      </c>
      <c r="J23" s="72"/>
      <c r="K23" s="72"/>
      <c r="L23" s="72" t="s">
        <v>171</v>
      </c>
      <c r="M23" s="72"/>
      <c r="N23" s="72"/>
      <c r="O23" s="72"/>
      <c r="P23" s="30" t="s">
        <v>48</v>
      </c>
      <c r="Q23" s="30" t="s">
        <v>91</v>
      </c>
      <c r="R23" s="30">
        <v>90</v>
      </c>
      <c r="S23" s="30">
        <v>73</v>
      </c>
      <c r="T23" s="30">
        <v>69.44</v>
      </c>
      <c r="U23" s="32">
        <f t="shared" si="0"/>
        <v>95.123287671232873</v>
      </c>
    </row>
    <row r="24" spans="1:22" ht="75" customHeight="1" thickBot="1" x14ac:dyDescent="0.25">
      <c r="A24" s="25"/>
      <c r="B24" s="29" t="s">
        <v>45</v>
      </c>
      <c r="C24" s="72" t="s">
        <v>172</v>
      </c>
      <c r="D24" s="72"/>
      <c r="E24" s="72"/>
      <c r="F24" s="72"/>
      <c r="G24" s="72"/>
      <c r="H24" s="72"/>
      <c r="I24" s="72" t="s">
        <v>173</v>
      </c>
      <c r="J24" s="72"/>
      <c r="K24" s="72"/>
      <c r="L24" s="72" t="s">
        <v>174</v>
      </c>
      <c r="M24" s="72"/>
      <c r="N24" s="72"/>
      <c r="O24" s="72"/>
      <c r="P24" s="30" t="s">
        <v>48</v>
      </c>
      <c r="Q24" s="30" t="s">
        <v>91</v>
      </c>
      <c r="R24" s="30">
        <v>83</v>
      </c>
      <c r="S24" s="30">
        <v>83</v>
      </c>
      <c r="T24" s="30">
        <v>69.48</v>
      </c>
      <c r="U24" s="32">
        <f t="shared" si="0"/>
        <v>83.710843373493987</v>
      </c>
    </row>
    <row r="25" spans="1:22" ht="22.5" customHeight="1" thickTop="1" thickBot="1" x14ac:dyDescent="0.25">
      <c r="B25" s="8" t="s">
        <v>98</v>
      </c>
      <c r="C25" s="9"/>
      <c r="D25" s="9"/>
      <c r="E25" s="9"/>
      <c r="F25" s="9"/>
      <c r="G25" s="9"/>
      <c r="H25" s="10"/>
      <c r="I25" s="10"/>
      <c r="J25" s="10"/>
      <c r="K25" s="10"/>
      <c r="L25" s="10"/>
      <c r="M25" s="10"/>
      <c r="N25" s="10"/>
      <c r="O25" s="10"/>
      <c r="P25" s="10"/>
      <c r="Q25" s="10"/>
      <c r="R25" s="10"/>
      <c r="S25" s="10"/>
      <c r="T25" s="10"/>
      <c r="U25" s="11"/>
      <c r="V25" s="33"/>
    </row>
    <row r="26" spans="1:22" ht="26.25" customHeight="1" thickTop="1" x14ac:dyDescent="0.2">
      <c r="B26" s="34"/>
      <c r="C26" s="35"/>
      <c r="D26" s="35"/>
      <c r="E26" s="35"/>
      <c r="F26" s="35"/>
      <c r="G26" s="35"/>
      <c r="H26" s="36"/>
      <c r="I26" s="36"/>
      <c r="J26" s="36"/>
      <c r="K26" s="36"/>
      <c r="L26" s="36"/>
      <c r="M26" s="36"/>
      <c r="N26" s="36"/>
      <c r="O26" s="36"/>
      <c r="P26" s="37"/>
      <c r="Q26" s="38"/>
      <c r="R26" s="39" t="s">
        <v>99</v>
      </c>
      <c r="S26" s="22" t="s">
        <v>100</v>
      </c>
      <c r="T26" s="39" t="s">
        <v>101</v>
      </c>
      <c r="U26" s="22" t="s">
        <v>102</v>
      </c>
    </row>
    <row r="27" spans="1:22" ht="26.25" customHeight="1" thickBot="1" x14ac:dyDescent="0.25">
      <c r="B27" s="40"/>
      <c r="C27" s="41"/>
      <c r="D27" s="41"/>
      <c r="E27" s="41"/>
      <c r="F27" s="41"/>
      <c r="G27" s="41"/>
      <c r="H27" s="42"/>
      <c r="I27" s="42"/>
      <c r="J27" s="42"/>
      <c r="K27" s="42"/>
      <c r="L27" s="42"/>
      <c r="M27" s="42"/>
      <c r="N27" s="42"/>
      <c r="O27" s="42"/>
      <c r="P27" s="43"/>
      <c r="Q27" s="44"/>
      <c r="R27" s="45" t="s">
        <v>103</v>
      </c>
      <c r="S27" s="44" t="s">
        <v>103</v>
      </c>
      <c r="T27" s="44" t="s">
        <v>103</v>
      </c>
      <c r="U27" s="44" t="s">
        <v>104</v>
      </c>
    </row>
    <row r="28" spans="1:22" ht="13.5" customHeight="1" thickBot="1" x14ac:dyDescent="0.25">
      <c r="B28" s="65" t="s">
        <v>105</v>
      </c>
      <c r="C28" s="66"/>
      <c r="D28" s="66"/>
      <c r="E28" s="46"/>
      <c r="F28" s="46"/>
      <c r="G28" s="46"/>
      <c r="H28" s="47"/>
      <c r="I28" s="47"/>
      <c r="J28" s="47"/>
      <c r="K28" s="47"/>
      <c r="L28" s="47"/>
      <c r="M28" s="47"/>
      <c r="N28" s="47"/>
      <c r="O28" s="47"/>
      <c r="P28" s="48"/>
      <c r="Q28" s="48"/>
      <c r="R28" s="49">
        <f>1176.929362</f>
        <v>1176.9293620000001</v>
      </c>
      <c r="S28" s="49">
        <f>809.135568</f>
        <v>809.13556800000003</v>
      </c>
      <c r="T28" s="49">
        <f>780.51518546</f>
        <v>780.51518546</v>
      </c>
      <c r="U28" s="50">
        <f>+IF(ISERR(T28/S28*100),"N/A",T28/S28*100)</f>
        <v>96.462844587249691</v>
      </c>
    </row>
    <row r="29" spans="1:22" ht="13.5" customHeight="1" thickBot="1" x14ac:dyDescent="0.25">
      <c r="B29" s="67" t="s">
        <v>106</v>
      </c>
      <c r="C29" s="68"/>
      <c r="D29" s="68"/>
      <c r="E29" s="51"/>
      <c r="F29" s="51"/>
      <c r="G29" s="51"/>
      <c r="H29" s="52"/>
      <c r="I29" s="52"/>
      <c r="J29" s="52"/>
      <c r="K29" s="52"/>
      <c r="L29" s="52"/>
      <c r="M29" s="52"/>
      <c r="N29" s="52"/>
      <c r="O29" s="52"/>
      <c r="P29" s="53"/>
      <c r="Q29" s="53"/>
      <c r="R29" s="49">
        <f>1129.15724</f>
        <v>1129.15724</v>
      </c>
      <c r="S29" s="49">
        <f>799.711852</f>
        <v>799.71185200000002</v>
      </c>
      <c r="T29" s="49">
        <f>780.51518546</f>
        <v>780.51518546</v>
      </c>
      <c r="U29" s="50">
        <f>+IF(ISERR(T29/S29*100),"N/A",T29/S29*100)</f>
        <v>97.599552077164901</v>
      </c>
    </row>
    <row r="30" spans="1:22" ht="14.85" customHeight="1" thickTop="1" thickBot="1" x14ac:dyDescent="0.25">
      <c r="B30" s="8" t="s">
        <v>107</v>
      </c>
      <c r="C30" s="9"/>
      <c r="D30" s="9"/>
      <c r="E30" s="9"/>
      <c r="F30" s="9"/>
      <c r="G30" s="9"/>
      <c r="H30" s="10"/>
      <c r="I30" s="10"/>
      <c r="J30" s="10"/>
      <c r="K30" s="10"/>
      <c r="L30" s="10"/>
      <c r="M30" s="10"/>
      <c r="N30" s="10"/>
      <c r="O30" s="10"/>
      <c r="P30" s="10"/>
      <c r="Q30" s="10"/>
      <c r="R30" s="10"/>
      <c r="S30" s="10"/>
      <c r="T30" s="10"/>
      <c r="U30" s="11"/>
    </row>
    <row r="31" spans="1:22" ht="44.25" customHeight="1" thickTop="1" x14ac:dyDescent="0.2">
      <c r="B31" s="69" t="s">
        <v>108</v>
      </c>
      <c r="C31" s="70"/>
      <c r="D31" s="70"/>
      <c r="E31" s="70"/>
      <c r="F31" s="70"/>
      <c r="G31" s="70"/>
      <c r="H31" s="70"/>
      <c r="I31" s="70"/>
      <c r="J31" s="70"/>
      <c r="K31" s="70"/>
      <c r="L31" s="70"/>
      <c r="M31" s="70"/>
      <c r="N31" s="70"/>
      <c r="O31" s="70"/>
      <c r="P31" s="70"/>
      <c r="Q31" s="70"/>
      <c r="R31" s="70"/>
      <c r="S31" s="70"/>
      <c r="T31" s="70"/>
      <c r="U31" s="71"/>
    </row>
    <row r="32" spans="1:22" ht="34.5" customHeight="1" x14ac:dyDescent="0.2">
      <c r="B32" s="59" t="s">
        <v>114</v>
      </c>
      <c r="C32" s="60"/>
      <c r="D32" s="60"/>
      <c r="E32" s="60"/>
      <c r="F32" s="60"/>
      <c r="G32" s="60"/>
      <c r="H32" s="60"/>
      <c r="I32" s="60"/>
      <c r="J32" s="60"/>
      <c r="K32" s="60"/>
      <c r="L32" s="60"/>
      <c r="M32" s="60"/>
      <c r="N32" s="60"/>
      <c r="O32" s="60"/>
      <c r="P32" s="60"/>
      <c r="Q32" s="60"/>
      <c r="R32" s="60"/>
      <c r="S32" s="60"/>
      <c r="T32" s="60"/>
      <c r="U32" s="61"/>
    </row>
    <row r="33" spans="2:21" ht="34.5" customHeight="1" x14ac:dyDescent="0.2">
      <c r="B33" s="59" t="s">
        <v>175</v>
      </c>
      <c r="C33" s="60"/>
      <c r="D33" s="60"/>
      <c r="E33" s="60"/>
      <c r="F33" s="60"/>
      <c r="G33" s="60"/>
      <c r="H33" s="60"/>
      <c r="I33" s="60"/>
      <c r="J33" s="60"/>
      <c r="K33" s="60"/>
      <c r="L33" s="60"/>
      <c r="M33" s="60"/>
      <c r="N33" s="60"/>
      <c r="O33" s="60"/>
      <c r="P33" s="60"/>
      <c r="Q33" s="60"/>
      <c r="R33" s="60"/>
      <c r="S33" s="60"/>
      <c r="T33" s="60"/>
      <c r="U33" s="61"/>
    </row>
    <row r="34" spans="2:21" ht="30.6" customHeight="1" x14ac:dyDescent="0.2">
      <c r="B34" s="59" t="s">
        <v>176</v>
      </c>
      <c r="C34" s="60"/>
      <c r="D34" s="60"/>
      <c r="E34" s="60"/>
      <c r="F34" s="60"/>
      <c r="G34" s="60"/>
      <c r="H34" s="60"/>
      <c r="I34" s="60"/>
      <c r="J34" s="60"/>
      <c r="K34" s="60"/>
      <c r="L34" s="60"/>
      <c r="M34" s="60"/>
      <c r="N34" s="60"/>
      <c r="O34" s="60"/>
      <c r="P34" s="60"/>
      <c r="Q34" s="60"/>
      <c r="R34" s="60"/>
      <c r="S34" s="60"/>
      <c r="T34" s="60"/>
      <c r="U34" s="61"/>
    </row>
    <row r="35" spans="2:21" ht="58.7" customHeight="1" x14ac:dyDescent="0.2">
      <c r="B35" s="59" t="s">
        <v>177</v>
      </c>
      <c r="C35" s="60"/>
      <c r="D35" s="60"/>
      <c r="E35" s="60"/>
      <c r="F35" s="60"/>
      <c r="G35" s="60"/>
      <c r="H35" s="60"/>
      <c r="I35" s="60"/>
      <c r="J35" s="60"/>
      <c r="K35" s="60"/>
      <c r="L35" s="60"/>
      <c r="M35" s="60"/>
      <c r="N35" s="60"/>
      <c r="O35" s="60"/>
      <c r="P35" s="60"/>
      <c r="Q35" s="60"/>
      <c r="R35" s="60"/>
      <c r="S35" s="60"/>
      <c r="T35" s="60"/>
      <c r="U35" s="61"/>
    </row>
    <row r="36" spans="2:21" ht="33" customHeight="1" x14ac:dyDescent="0.2">
      <c r="B36" s="59" t="s">
        <v>178</v>
      </c>
      <c r="C36" s="60"/>
      <c r="D36" s="60"/>
      <c r="E36" s="60"/>
      <c r="F36" s="60"/>
      <c r="G36" s="60"/>
      <c r="H36" s="60"/>
      <c r="I36" s="60"/>
      <c r="J36" s="60"/>
      <c r="K36" s="60"/>
      <c r="L36" s="60"/>
      <c r="M36" s="60"/>
      <c r="N36" s="60"/>
      <c r="O36" s="60"/>
      <c r="P36" s="60"/>
      <c r="Q36" s="60"/>
      <c r="R36" s="60"/>
      <c r="S36" s="60"/>
      <c r="T36" s="60"/>
      <c r="U36" s="61"/>
    </row>
    <row r="37" spans="2:21" ht="39" customHeight="1" x14ac:dyDescent="0.2">
      <c r="B37" s="59" t="s">
        <v>179</v>
      </c>
      <c r="C37" s="60"/>
      <c r="D37" s="60"/>
      <c r="E37" s="60"/>
      <c r="F37" s="60"/>
      <c r="G37" s="60"/>
      <c r="H37" s="60"/>
      <c r="I37" s="60"/>
      <c r="J37" s="60"/>
      <c r="K37" s="60"/>
      <c r="L37" s="60"/>
      <c r="M37" s="60"/>
      <c r="N37" s="60"/>
      <c r="O37" s="60"/>
      <c r="P37" s="60"/>
      <c r="Q37" s="60"/>
      <c r="R37" s="60"/>
      <c r="S37" s="60"/>
      <c r="T37" s="60"/>
      <c r="U37" s="61"/>
    </row>
    <row r="38" spans="2:21" ht="26.1" customHeight="1" x14ac:dyDescent="0.2">
      <c r="B38" s="59" t="s">
        <v>180</v>
      </c>
      <c r="C38" s="60"/>
      <c r="D38" s="60"/>
      <c r="E38" s="60"/>
      <c r="F38" s="60"/>
      <c r="G38" s="60"/>
      <c r="H38" s="60"/>
      <c r="I38" s="60"/>
      <c r="J38" s="60"/>
      <c r="K38" s="60"/>
      <c r="L38" s="60"/>
      <c r="M38" s="60"/>
      <c r="N38" s="60"/>
      <c r="O38" s="60"/>
      <c r="P38" s="60"/>
      <c r="Q38" s="60"/>
      <c r="R38" s="60"/>
      <c r="S38" s="60"/>
      <c r="T38" s="60"/>
      <c r="U38" s="61"/>
    </row>
    <row r="39" spans="2:21" ht="27" customHeight="1" x14ac:dyDescent="0.2">
      <c r="B39" s="59" t="s">
        <v>181</v>
      </c>
      <c r="C39" s="60"/>
      <c r="D39" s="60"/>
      <c r="E39" s="60"/>
      <c r="F39" s="60"/>
      <c r="G39" s="60"/>
      <c r="H39" s="60"/>
      <c r="I39" s="60"/>
      <c r="J39" s="60"/>
      <c r="K39" s="60"/>
      <c r="L39" s="60"/>
      <c r="M39" s="60"/>
      <c r="N39" s="60"/>
      <c r="O39" s="60"/>
      <c r="P39" s="60"/>
      <c r="Q39" s="60"/>
      <c r="R39" s="60"/>
      <c r="S39" s="60"/>
      <c r="T39" s="60"/>
      <c r="U39" s="61"/>
    </row>
    <row r="40" spans="2:21" ht="30.2" customHeight="1" x14ac:dyDescent="0.2">
      <c r="B40" s="59" t="s">
        <v>182</v>
      </c>
      <c r="C40" s="60"/>
      <c r="D40" s="60"/>
      <c r="E40" s="60"/>
      <c r="F40" s="60"/>
      <c r="G40" s="60"/>
      <c r="H40" s="60"/>
      <c r="I40" s="60"/>
      <c r="J40" s="60"/>
      <c r="K40" s="60"/>
      <c r="L40" s="60"/>
      <c r="M40" s="60"/>
      <c r="N40" s="60"/>
      <c r="O40" s="60"/>
      <c r="P40" s="60"/>
      <c r="Q40" s="60"/>
      <c r="R40" s="60"/>
      <c r="S40" s="60"/>
      <c r="T40" s="60"/>
      <c r="U40" s="61"/>
    </row>
    <row r="41" spans="2:21" ht="36.200000000000003" customHeight="1" x14ac:dyDescent="0.2">
      <c r="B41" s="59" t="s">
        <v>183</v>
      </c>
      <c r="C41" s="60"/>
      <c r="D41" s="60"/>
      <c r="E41" s="60"/>
      <c r="F41" s="60"/>
      <c r="G41" s="60"/>
      <c r="H41" s="60"/>
      <c r="I41" s="60"/>
      <c r="J41" s="60"/>
      <c r="K41" s="60"/>
      <c r="L41" s="60"/>
      <c r="M41" s="60"/>
      <c r="N41" s="60"/>
      <c r="O41" s="60"/>
      <c r="P41" s="60"/>
      <c r="Q41" s="60"/>
      <c r="R41" s="60"/>
      <c r="S41" s="60"/>
      <c r="T41" s="60"/>
      <c r="U41" s="61"/>
    </row>
    <row r="42" spans="2:21" ht="40.35" customHeight="1" x14ac:dyDescent="0.2">
      <c r="B42" s="59" t="s">
        <v>184</v>
      </c>
      <c r="C42" s="60"/>
      <c r="D42" s="60"/>
      <c r="E42" s="60"/>
      <c r="F42" s="60"/>
      <c r="G42" s="60"/>
      <c r="H42" s="60"/>
      <c r="I42" s="60"/>
      <c r="J42" s="60"/>
      <c r="K42" s="60"/>
      <c r="L42" s="60"/>
      <c r="M42" s="60"/>
      <c r="N42" s="60"/>
      <c r="O42" s="60"/>
      <c r="P42" s="60"/>
      <c r="Q42" s="60"/>
      <c r="R42" s="60"/>
      <c r="S42" s="60"/>
      <c r="T42" s="60"/>
      <c r="U42" s="61"/>
    </row>
    <row r="43" spans="2:21" ht="46.5" customHeight="1" x14ac:dyDescent="0.2">
      <c r="B43" s="59" t="s">
        <v>185</v>
      </c>
      <c r="C43" s="60"/>
      <c r="D43" s="60"/>
      <c r="E43" s="60"/>
      <c r="F43" s="60"/>
      <c r="G43" s="60"/>
      <c r="H43" s="60"/>
      <c r="I43" s="60"/>
      <c r="J43" s="60"/>
      <c r="K43" s="60"/>
      <c r="L43" s="60"/>
      <c r="M43" s="60"/>
      <c r="N43" s="60"/>
      <c r="O43" s="60"/>
      <c r="P43" s="60"/>
      <c r="Q43" s="60"/>
      <c r="R43" s="60"/>
      <c r="S43" s="60"/>
      <c r="T43" s="60"/>
      <c r="U43" s="61"/>
    </row>
    <row r="44" spans="2:21" ht="49.7" customHeight="1" x14ac:dyDescent="0.2">
      <c r="B44" s="59" t="s">
        <v>186</v>
      </c>
      <c r="C44" s="60"/>
      <c r="D44" s="60"/>
      <c r="E44" s="60"/>
      <c r="F44" s="60"/>
      <c r="G44" s="60"/>
      <c r="H44" s="60"/>
      <c r="I44" s="60"/>
      <c r="J44" s="60"/>
      <c r="K44" s="60"/>
      <c r="L44" s="60"/>
      <c r="M44" s="60"/>
      <c r="N44" s="60"/>
      <c r="O44" s="60"/>
      <c r="P44" s="60"/>
      <c r="Q44" s="60"/>
      <c r="R44" s="60"/>
      <c r="S44" s="60"/>
      <c r="T44" s="60"/>
      <c r="U44" s="61"/>
    </row>
    <row r="45" spans="2:21" ht="47.1" customHeight="1" thickBot="1" x14ac:dyDescent="0.25">
      <c r="B45" s="62" t="s">
        <v>187</v>
      </c>
      <c r="C45" s="63"/>
      <c r="D45" s="63"/>
      <c r="E45" s="63"/>
      <c r="F45" s="63"/>
      <c r="G45" s="63"/>
      <c r="H45" s="63"/>
      <c r="I45" s="63"/>
      <c r="J45" s="63"/>
      <c r="K45" s="63"/>
      <c r="L45" s="63"/>
      <c r="M45" s="63"/>
      <c r="N45" s="63"/>
      <c r="O45" s="63"/>
      <c r="P45" s="63"/>
      <c r="Q45" s="63"/>
      <c r="R45" s="63"/>
      <c r="S45" s="63"/>
      <c r="T45" s="63"/>
      <c r="U45" s="64"/>
    </row>
  </sheetData>
  <mergeCells count="8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B37:U37"/>
    <mergeCell ref="C24:H24"/>
    <mergeCell ref="I24:K24"/>
    <mergeCell ref="L24:O24"/>
    <mergeCell ref="B28:D28"/>
    <mergeCell ref="B29:D29"/>
    <mergeCell ref="B31:U31"/>
    <mergeCell ref="B32:U32"/>
    <mergeCell ref="B33:U33"/>
    <mergeCell ref="B34:U34"/>
    <mergeCell ref="B35:U35"/>
    <mergeCell ref="B36:U36"/>
    <mergeCell ref="B44:U44"/>
    <mergeCell ref="B45:U45"/>
    <mergeCell ref="B38:U38"/>
    <mergeCell ref="B39:U39"/>
    <mergeCell ref="B40:U40"/>
    <mergeCell ref="B41:U41"/>
    <mergeCell ref="B42:U42"/>
    <mergeCell ref="B43:U43"/>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584</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188</v>
      </c>
      <c r="D4" s="99" t="s">
        <v>189</v>
      </c>
      <c r="E4" s="99"/>
      <c r="F4" s="99"/>
      <c r="G4" s="99"/>
      <c r="H4" s="99"/>
      <c r="I4" s="14"/>
      <c r="J4" s="15" t="s">
        <v>9</v>
      </c>
      <c r="K4" s="16" t="s">
        <v>10</v>
      </c>
      <c r="L4" s="100" t="s">
        <v>1</v>
      </c>
      <c r="M4" s="100"/>
      <c r="N4" s="100"/>
      <c r="O4" s="100"/>
      <c r="P4" s="15" t="s">
        <v>11</v>
      </c>
      <c r="Q4" s="100" t="s">
        <v>12</v>
      </c>
      <c r="R4" s="100"/>
      <c r="S4" s="15" t="s">
        <v>13</v>
      </c>
      <c r="T4" s="100" t="s">
        <v>190</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191</v>
      </c>
      <c r="D6" s="80"/>
      <c r="E6" s="80"/>
      <c r="F6" s="80"/>
      <c r="G6" s="80"/>
      <c r="H6" s="18"/>
      <c r="I6" s="18"/>
      <c r="J6" s="18" t="s">
        <v>18</v>
      </c>
      <c r="K6" s="80" t="s">
        <v>192</v>
      </c>
      <c r="L6" s="80"/>
      <c r="M6" s="80"/>
      <c r="N6" s="19"/>
      <c r="O6" s="20" t="s">
        <v>20</v>
      </c>
      <c r="P6" s="80" t="s">
        <v>193</v>
      </c>
      <c r="Q6" s="80"/>
      <c r="R6" s="21"/>
      <c r="S6" s="20" t="s">
        <v>22</v>
      </c>
      <c r="T6" s="80" t="s">
        <v>194</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195</v>
      </c>
      <c r="D11" s="73"/>
      <c r="E11" s="73"/>
      <c r="F11" s="73"/>
      <c r="G11" s="73"/>
      <c r="H11" s="73"/>
      <c r="I11" s="73" t="s">
        <v>196</v>
      </c>
      <c r="J11" s="73"/>
      <c r="K11" s="73"/>
      <c r="L11" s="73" t="s">
        <v>197</v>
      </c>
      <c r="M11" s="73"/>
      <c r="N11" s="73"/>
      <c r="O11" s="73"/>
      <c r="P11" s="27" t="s">
        <v>48</v>
      </c>
      <c r="Q11" s="27" t="s">
        <v>61</v>
      </c>
      <c r="R11" s="54">
        <v>0.25</v>
      </c>
      <c r="S11" s="54" t="s">
        <v>44</v>
      </c>
      <c r="T11" s="54" t="s">
        <v>44</v>
      </c>
      <c r="U11" s="28" t="str">
        <f t="shared" ref="U11:U20" si="0">IF(ISERR(T11/S11*100),"N/A",T11/S11*100)</f>
        <v>N/A</v>
      </c>
    </row>
    <row r="12" spans="1:34" ht="75" customHeight="1" x14ac:dyDescent="0.2">
      <c r="A12" s="25"/>
      <c r="B12" s="29" t="s">
        <v>45</v>
      </c>
      <c r="C12" s="72" t="s">
        <v>45</v>
      </c>
      <c r="D12" s="72"/>
      <c r="E12" s="72"/>
      <c r="F12" s="72"/>
      <c r="G12" s="72"/>
      <c r="H12" s="72"/>
      <c r="I12" s="72" t="s">
        <v>198</v>
      </c>
      <c r="J12" s="72"/>
      <c r="K12" s="72"/>
      <c r="L12" s="72" t="s">
        <v>199</v>
      </c>
      <c r="M12" s="72"/>
      <c r="N12" s="72"/>
      <c r="O12" s="72"/>
      <c r="P12" s="30" t="s">
        <v>48</v>
      </c>
      <c r="Q12" s="30" t="s">
        <v>43</v>
      </c>
      <c r="R12" s="30">
        <v>67.09</v>
      </c>
      <c r="S12" s="30" t="s">
        <v>44</v>
      </c>
      <c r="T12" s="30" t="s">
        <v>44</v>
      </c>
      <c r="U12" s="32" t="str">
        <f t="shared" si="0"/>
        <v>N/A</v>
      </c>
    </row>
    <row r="13" spans="1:34" ht="75" customHeight="1" x14ac:dyDescent="0.2">
      <c r="A13" s="25"/>
      <c r="B13" s="29" t="s">
        <v>45</v>
      </c>
      <c r="C13" s="72" t="s">
        <v>45</v>
      </c>
      <c r="D13" s="72"/>
      <c r="E13" s="72"/>
      <c r="F13" s="72"/>
      <c r="G13" s="72"/>
      <c r="H13" s="72"/>
      <c r="I13" s="72" t="s">
        <v>200</v>
      </c>
      <c r="J13" s="72"/>
      <c r="K13" s="72"/>
      <c r="L13" s="72" t="s">
        <v>201</v>
      </c>
      <c r="M13" s="72"/>
      <c r="N13" s="72"/>
      <c r="O13" s="72"/>
      <c r="P13" s="30" t="s">
        <v>48</v>
      </c>
      <c r="Q13" s="30" t="s">
        <v>139</v>
      </c>
      <c r="R13" s="30">
        <v>45.32</v>
      </c>
      <c r="S13" s="30">
        <v>45.01</v>
      </c>
      <c r="T13" s="30">
        <v>45.33</v>
      </c>
      <c r="U13" s="32">
        <f t="shared" si="0"/>
        <v>100.71095312152856</v>
      </c>
    </row>
    <row r="14" spans="1:34" ht="75" customHeight="1" thickBot="1" x14ac:dyDescent="0.25">
      <c r="A14" s="25"/>
      <c r="B14" s="29" t="s">
        <v>45</v>
      </c>
      <c r="C14" s="72" t="s">
        <v>45</v>
      </c>
      <c r="D14" s="72"/>
      <c r="E14" s="72"/>
      <c r="F14" s="72"/>
      <c r="G14" s="72"/>
      <c r="H14" s="72"/>
      <c r="I14" s="72" t="s">
        <v>202</v>
      </c>
      <c r="J14" s="72"/>
      <c r="K14" s="72"/>
      <c r="L14" s="72" t="s">
        <v>203</v>
      </c>
      <c r="M14" s="72"/>
      <c r="N14" s="72"/>
      <c r="O14" s="72"/>
      <c r="P14" s="30" t="s">
        <v>48</v>
      </c>
      <c r="Q14" s="30" t="s">
        <v>139</v>
      </c>
      <c r="R14" s="30">
        <v>42.73</v>
      </c>
      <c r="S14" s="30">
        <v>42.55</v>
      </c>
      <c r="T14" s="30">
        <v>49.42</v>
      </c>
      <c r="U14" s="32">
        <f t="shared" si="0"/>
        <v>116.14571092831964</v>
      </c>
    </row>
    <row r="15" spans="1:34" ht="75" customHeight="1" thickTop="1" thickBot="1" x14ac:dyDescent="0.25">
      <c r="A15" s="25"/>
      <c r="B15" s="26" t="s">
        <v>62</v>
      </c>
      <c r="C15" s="73" t="s">
        <v>204</v>
      </c>
      <c r="D15" s="73"/>
      <c r="E15" s="73"/>
      <c r="F15" s="73"/>
      <c r="G15" s="73"/>
      <c r="H15" s="73"/>
      <c r="I15" s="73" t="s">
        <v>205</v>
      </c>
      <c r="J15" s="73"/>
      <c r="K15" s="73"/>
      <c r="L15" s="73" t="s">
        <v>206</v>
      </c>
      <c r="M15" s="73"/>
      <c r="N15" s="73"/>
      <c r="O15" s="73"/>
      <c r="P15" s="27" t="s">
        <v>48</v>
      </c>
      <c r="Q15" s="27" t="s">
        <v>139</v>
      </c>
      <c r="R15" s="27">
        <v>65.27</v>
      </c>
      <c r="S15" s="27">
        <v>65.09</v>
      </c>
      <c r="T15" s="27">
        <v>62.7</v>
      </c>
      <c r="U15" s="28">
        <f t="shared" si="0"/>
        <v>96.328161007835305</v>
      </c>
    </row>
    <row r="16" spans="1:34" ht="75" customHeight="1" thickTop="1" x14ac:dyDescent="0.2">
      <c r="A16" s="25"/>
      <c r="B16" s="26" t="s">
        <v>71</v>
      </c>
      <c r="C16" s="73" t="s">
        <v>207</v>
      </c>
      <c r="D16" s="73"/>
      <c r="E16" s="73"/>
      <c r="F16" s="73"/>
      <c r="G16" s="73"/>
      <c r="H16" s="73"/>
      <c r="I16" s="73" t="s">
        <v>208</v>
      </c>
      <c r="J16" s="73"/>
      <c r="K16" s="73"/>
      <c r="L16" s="73" t="s">
        <v>209</v>
      </c>
      <c r="M16" s="73"/>
      <c r="N16" s="73"/>
      <c r="O16" s="73"/>
      <c r="P16" s="27" t="s">
        <v>48</v>
      </c>
      <c r="Q16" s="27" t="s">
        <v>91</v>
      </c>
      <c r="R16" s="27">
        <v>81.98</v>
      </c>
      <c r="S16" s="27">
        <v>81.92</v>
      </c>
      <c r="T16" s="27">
        <v>81.84</v>
      </c>
      <c r="U16" s="28">
        <f t="shared" si="0"/>
        <v>99.90234375</v>
      </c>
    </row>
    <row r="17" spans="1:22" ht="75" customHeight="1" x14ac:dyDescent="0.2">
      <c r="A17" s="25"/>
      <c r="B17" s="29" t="s">
        <v>45</v>
      </c>
      <c r="C17" s="72" t="s">
        <v>45</v>
      </c>
      <c r="D17" s="72"/>
      <c r="E17" s="72"/>
      <c r="F17" s="72"/>
      <c r="G17" s="72"/>
      <c r="H17" s="72"/>
      <c r="I17" s="72" t="s">
        <v>210</v>
      </c>
      <c r="J17" s="72"/>
      <c r="K17" s="72"/>
      <c r="L17" s="72" t="s">
        <v>211</v>
      </c>
      <c r="M17" s="72"/>
      <c r="N17" s="72"/>
      <c r="O17" s="72"/>
      <c r="P17" s="30" t="s">
        <v>212</v>
      </c>
      <c r="Q17" s="30" t="s">
        <v>61</v>
      </c>
      <c r="R17" s="30">
        <v>0.91</v>
      </c>
      <c r="S17" s="30" t="s">
        <v>44</v>
      </c>
      <c r="T17" s="30" t="s">
        <v>44</v>
      </c>
      <c r="U17" s="32" t="str">
        <f t="shared" si="0"/>
        <v>N/A</v>
      </c>
    </row>
    <row r="18" spans="1:22" ht="75" customHeight="1" thickBot="1" x14ac:dyDescent="0.25">
      <c r="A18" s="25"/>
      <c r="B18" s="29" t="s">
        <v>45</v>
      </c>
      <c r="C18" s="72" t="s">
        <v>213</v>
      </c>
      <c r="D18" s="72"/>
      <c r="E18" s="72"/>
      <c r="F18" s="72"/>
      <c r="G18" s="72"/>
      <c r="H18" s="72"/>
      <c r="I18" s="72" t="s">
        <v>214</v>
      </c>
      <c r="J18" s="72"/>
      <c r="K18" s="72"/>
      <c r="L18" s="72" t="s">
        <v>215</v>
      </c>
      <c r="M18" s="72"/>
      <c r="N18" s="72"/>
      <c r="O18" s="72"/>
      <c r="P18" s="30" t="s">
        <v>212</v>
      </c>
      <c r="Q18" s="30" t="s">
        <v>91</v>
      </c>
      <c r="R18" s="30">
        <v>0.57999999999999996</v>
      </c>
      <c r="S18" s="30">
        <v>0.56000000000000005</v>
      </c>
      <c r="T18" s="30">
        <v>-17.55</v>
      </c>
      <c r="U18" s="32">
        <f t="shared" si="0"/>
        <v>-3133.9285714285711</v>
      </c>
    </row>
    <row r="19" spans="1:22" ht="75" customHeight="1" thickTop="1" x14ac:dyDescent="0.2">
      <c r="A19" s="25"/>
      <c r="B19" s="26" t="s">
        <v>87</v>
      </c>
      <c r="C19" s="73" t="s">
        <v>216</v>
      </c>
      <c r="D19" s="73"/>
      <c r="E19" s="73"/>
      <c r="F19" s="73"/>
      <c r="G19" s="73"/>
      <c r="H19" s="73"/>
      <c r="I19" s="73" t="s">
        <v>217</v>
      </c>
      <c r="J19" s="73"/>
      <c r="K19" s="73"/>
      <c r="L19" s="73" t="s">
        <v>218</v>
      </c>
      <c r="M19" s="73"/>
      <c r="N19" s="73"/>
      <c r="O19" s="73"/>
      <c r="P19" s="27" t="s">
        <v>48</v>
      </c>
      <c r="Q19" s="27" t="s">
        <v>91</v>
      </c>
      <c r="R19" s="27">
        <v>84.38</v>
      </c>
      <c r="S19" s="27">
        <v>84.38</v>
      </c>
      <c r="T19" s="27">
        <v>83.15</v>
      </c>
      <c r="U19" s="28">
        <f t="shared" si="0"/>
        <v>98.542308603934586</v>
      </c>
    </row>
    <row r="20" spans="1:22" ht="75" customHeight="1" thickBot="1" x14ac:dyDescent="0.25">
      <c r="A20" s="25"/>
      <c r="B20" s="29" t="s">
        <v>45</v>
      </c>
      <c r="C20" s="72" t="s">
        <v>45</v>
      </c>
      <c r="D20" s="72"/>
      <c r="E20" s="72"/>
      <c r="F20" s="72"/>
      <c r="G20" s="72"/>
      <c r="H20" s="72"/>
      <c r="I20" s="72" t="s">
        <v>219</v>
      </c>
      <c r="J20" s="72"/>
      <c r="K20" s="72"/>
      <c r="L20" s="72" t="s">
        <v>220</v>
      </c>
      <c r="M20" s="72"/>
      <c r="N20" s="72"/>
      <c r="O20" s="72"/>
      <c r="P20" s="30" t="s">
        <v>212</v>
      </c>
      <c r="Q20" s="30" t="s">
        <v>91</v>
      </c>
      <c r="R20" s="30">
        <v>2.08</v>
      </c>
      <c r="S20" s="30">
        <v>2.08</v>
      </c>
      <c r="T20" s="30">
        <v>2.61</v>
      </c>
      <c r="U20" s="32">
        <f t="shared" si="0"/>
        <v>125.48076923076923</v>
      </c>
    </row>
    <row r="21" spans="1:22" ht="22.5" customHeight="1" thickTop="1" thickBot="1" x14ac:dyDescent="0.25">
      <c r="B21" s="8" t="s">
        <v>98</v>
      </c>
      <c r="C21" s="9"/>
      <c r="D21" s="9"/>
      <c r="E21" s="9"/>
      <c r="F21" s="9"/>
      <c r="G21" s="9"/>
      <c r="H21" s="10"/>
      <c r="I21" s="10"/>
      <c r="J21" s="10"/>
      <c r="K21" s="10"/>
      <c r="L21" s="10"/>
      <c r="M21" s="10"/>
      <c r="N21" s="10"/>
      <c r="O21" s="10"/>
      <c r="P21" s="10"/>
      <c r="Q21" s="10"/>
      <c r="R21" s="10"/>
      <c r="S21" s="10"/>
      <c r="T21" s="10"/>
      <c r="U21" s="11"/>
      <c r="V21" s="33"/>
    </row>
    <row r="22" spans="1:22" ht="26.25" customHeight="1" thickTop="1" x14ac:dyDescent="0.2">
      <c r="B22" s="34"/>
      <c r="C22" s="35"/>
      <c r="D22" s="35"/>
      <c r="E22" s="35"/>
      <c r="F22" s="35"/>
      <c r="G22" s="35"/>
      <c r="H22" s="36"/>
      <c r="I22" s="36"/>
      <c r="J22" s="36"/>
      <c r="K22" s="36"/>
      <c r="L22" s="36"/>
      <c r="M22" s="36"/>
      <c r="N22" s="36"/>
      <c r="O22" s="36"/>
      <c r="P22" s="37"/>
      <c r="Q22" s="38"/>
      <c r="R22" s="39" t="s">
        <v>99</v>
      </c>
      <c r="S22" s="22" t="s">
        <v>100</v>
      </c>
      <c r="T22" s="39" t="s">
        <v>101</v>
      </c>
      <c r="U22" s="22" t="s">
        <v>102</v>
      </c>
    </row>
    <row r="23" spans="1:22" ht="26.25" customHeight="1" thickBot="1" x14ac:dyDescent="0.25">
      <c r="B23" s="40"/>
      <c r="C23" s="41"/>
      <c r="D23" s="41"/>
      <c r="E23" s="41"/>
      <c r="F23" s="41"/>
      <c r="G23" s="41"/>
      <c r="H23" s="42"/>
      <c r="I23" s="42"/>
      <c r="J23" s="42"/>
      <c r="K23" s="42"/>
      <c r="L23" s="42"/>
      <c r="M23" s="42"/>
      <c r="N23" s="42"/>
      <c r="O23" s="42"/>
      <c r="P23" s="43"/>
      <c r="Q23" s="44"/>
      <c r="R23" s="45" t="s">
        <v>103</v>
      </c>
      <c r="S23" s="44" t="s">
        <v>103</v>
      </c>
      <c r="T23" s="44" t="s">
        <v>103</v>
      </c>
      <c r="U23" s="44" t="s">
        <v>104</v>
      </c>
    </row>
    <row r="24" spans="1:22" ht="13.5" customHeight="1" thickBot="1" x14ac:dyDescent="0.25">
      <c r="B24" s="65" t="s">
        <v>105</v>
      </c>
      <c r="C24" s="66"/>
      <c r="D24" s="66"/>
      <c r="E24" s="46"/>
      <c r="F24" s="46"/>
      <c r="G24" s="46"/>
      <c r="H24" s="47"/>
      <c r="I24" s="47"/>
      <c r="J24" s="47"/>
      <c r="K24" s="47"/>
      <c r="L24" s="47"/>
      <c r="M24" s="47"/>
      <c r="N24" s="47"/>
      <c r="O24" s="47"/>
      <c r="P24" s="48"/>
      <c r="Q24" s="48"/>
      <c r="R24" s="49">
        <f>718.539898</f>
        <v>718.53989799999999</v>
      </c>
      <c r="S24" s="49">
        <f>429.386581</f>
        <v>429.38658099999998</v>
      </c>
      <c r="T24" s="49">
        <f>463.301562459999</f>
        <v>463.30156245999899</v>
      </c>
      <c r="U24" s="50">
        <f>+IF(ISERR(T24/S24*100),"N/A",T24/S24*100)</f>
        <v>107.8984726027102</v>
      </c>
    </row>
    <row r="25" spans="1:22" ht="13.5" customHeight="1" thickBot="1" x14ac:dyDescent="0.25">
      <c r="B25" s="67" t="s">
        <v>106</v>
      </c>
      <c r="C25" s="68"/>
      <c r="D25" s="68"/>
      <c r="E25" s="51"/>
      <c r="F25" s="51"/>
      <c r="G25" s="51"/>
      <c r="H25" s="52"/>
      <c r="I25" s="52"/>
      <c r="J25" s="52"/>
      <c r="K25" s="52"/>
      <c r="L25" s="52"/>
      <c r="M25" s="52"/>
      <c r="N25" s="52"/>
      <c r="O25" s="52"/>
      <c r="P25" s="53"/>
      <c r="Q25" s="53"/>
      <c r="R25" s="49">
        <f>671.096601</f>
        <v>671.09660099999996</v>
      </c>
      <c r="S25" s="49">
        <f>482.684439</f>
        <v>482.684439</v>
      </c>
      <c r="T25" s="49">
        <f>463.301562459999</f>
        <v>463.30156245999899</v>
      </c>
      <c r="U25" s="50">
        <f>+IF(ISERR(T25/S25*100),"N/A",T25/S25*100)</f>
        <v>95.984358522069329</v>
      </c>
    </row>
    <row r="26" spans="1:22" ht="14.85" customHeight="1" thickTop="1" thickBot="1" x14ac:dyDescent="0.25">
      <c r="B26" s="8" t="s">
        <v>107</v>
      </c>
      <c r="C26" s="9"/>
      <c r="D26" s="9"/>
      <c r="E26" s="9"/>
      <c r="F26" s="9"/>
      <c r="G26" s="9"/>
      <c r="H26" s="10"/>
      <c r="I26" s="10"/>
      <c r="J26" s="10"/>
      <c r="K26" s="10"/>
      <c r="L26" s="10"/>
      <c r="M26" s="10"/>
      <c r="N26" s="10"/>
      <c r="O26" s="10"/>
      <c r="P26" s="10"/>
      <c r="Q26" s="10"/>
      <c r="R26" s="10"/>
      <c r="S26" s="10"/>
      <c r="T26" s="10"/>
      <c r="U26" s="11"/>
    </row>
    <row r="27" spans="1:22" ht="44.25" customHeight="1" thickTop="1" x14ac:dyDescent="0.2">
      <c r="B27" s="69" t="s">
        <v>108</v>
      </c>
      <c r="C27" s="70"/>
      <c r="D27" s="70"/>
      <c r="E27" s="70"/>
      <c r="F27" s="70"/>
      <c r="G27" s="70"/>
      <c r="H27" s="70"/>
      <c r="I27" s="70"/>
      <c r="J27" s="70"/>
      <c r="K27" s="70"/>
      <c r="L27" s="70"/>
      <c r="M27" s="70"/>
      <c r="N27" s="70"/>
      <c r="O27" s="70"/>
      <c r="P27" s="70"/>
      <c r="Q27" s="70"/>
      <c r="R27" s="70"/>
      <c r="S27" s="70"/>
      <c r="T27" s="70"/>
      <c r="U27" s="71"/>
    </row>
    <row r="28" spans="1:22" ht="16.350000000000001" customHeight="1" x14ac:dyDescent="0.2">
      <c r="B28" s="59" t="s">
        <v>221</v>
      </c>
      <c r="C28" s="60"/>
      <c r="D28" s="60"/>
      <c r="E28" s="60"/>
      <c r="F28" s="60"/>
      <c r="G28" s="60"/>
      <c r="H28" s="60"/>
      <c r="I28" s="60"/>
      <c r="J28" s="60"/>
      <c r="K28" s="60"/>
      <c r="L28" s="60"/>
      <c r="M28" s="60"/>
      <c r="N28" s="60"/>
      <c r="O28" s="60"/>
      <c r="P28" s="60"/>
      <c r="Q28" s="60"/>
      <c r="R28" s="60"/>
      <c r="S28" s="60"/>
      <c r="T28" s="60"/>
      <c r="U28" s="61"/>
    </row>
    <row r="29" spans="1:22" ht="34.5" customHeight="1" x14ac:dyDescent="0.2">
      <c r="B29" s="59" t="s">
        <v>222</v>
      </c>
      <c r="C29" s="60"/>
      <c r="D29" s="60"/>
      <c r="E29" s="60"/>
      <c r="F29" s="60"/>
      <c r="G29" s="60"/>
      <c r="H29" s="60"/>
      <c r="I29" s="60"/>
      <c r="J29" s="60"/>
      <c r="K29" s="60"/>
      <c r="L29" s="60"/>
      <c r="M29" s="60"/>
      <c r="N29" s="60"/>
      <c r="O29" s="60"/>
      <c r="P29" s="60"/>
      <c r="Q29" s="60"/>
      <c r="R29" s="60"/>
      <c r="S29" s="60"/>
      <c r="T29" s="60"/>
      <c r="U29" s="61"/>
    </row>
    <row r="30" spans="1:22" ht="183" customHeight="1" x14ac:dyDescent="0.2">
      <c r="B30" s="59" t="s">
        <v>223</v>
      </c>
      <c r="C30" s="60"/>
      <c r="D30" s="60"/>
      <c r="E30" s="60"/>
      <c r="F30" s="60"/>
      <c r="G30" s="60"/>
      <c r="H30" s="60"/>
      <c r="I30" s="60"/>
      <c r="J30" s="60"/>
      <c r="K30" s="60"/>
      <c r="L30" s="60"/>
      <c r="M30" s="60"/>
      <c r="N30" s="60"/>
      <c r="O30" s="60"/>
      <c r="P30" s="60"/>
      <c r="Q30" s="60"/>
      <c r="R30" s="60"/>
      <c r="S30" s="60"/>
      <c r="T30" s="60"/>
      <c r="U30" s="61"/>
    </row>
    <row r="31" spans="1:22" ht="113.1" customHeight="1" x14ac:dyDescent="0.2">
      <c r="B31" s="59" t="s">
        <v>224</v>
      </c>
      <c r="C31" s="60"/>
      <c r="D31" s="60"/>
      <c r="E31" s="60"/>
      <c r="F31" s="60"/>
      <c r="G31" s="60"/>
      <c r="H31" s="60"/>
      <c r="I31" s="60"/>
      <c r="J31" s="60"/>
      <c r="K31" s="60"/>
      <c r="L31" s="60"/>
      <c r="M31" s="60"/>
      <c r="N31" s="60"/>
      <c r="O31" s="60"/>
      <c r="P31" s="60"/>
      <c r="Q31" s="60"/>
      <c r="R31" s="60"/>
      <c r="S31" s="60"/>
      <c r="T31" s="60"/>
      <c r="U31" s="61"/>
    </row>
    <row r="32" spans="1:22" ht="140.44999999999999" customHeight="1" x14ac:dyDescent="0.2">
      <c r="B32" s="59" t="s">
        <v>225</v>
      </c>
      <c r="C32" s="60"/>
      <c r="D32" s="60"/>
      <c r="E32" s="60"/>
      <c r="F32" s="60"/>
      <c r="G32" s="60"/>
      <c r="H32" s="60"/>
      <c r="I32" s="60"/>
      <c r="J32" s="60"/>
      <c r="K32" s="60"/>
      <c r="L32" s="60"/>
      <c r="M32" s="60"/>
      <c r="N32" s="60"/>
      <c r="O32" s="60"/>
      <c r="P32" s="60"/>
      <c r="Q32" s="60"/>
      <c r="R32" s="60"/>
      <c r="S32" s="60"/>
      <c r="T32" s="60"/>
      <c r="U32" s="61"/>
    </row>
    <row r="33" spans="2:21" ht="104.85" customHeight="1" x14ac:dyDescent="0.2">
      <c r="B33" s="59" t="s">
        <v>226</v>
      </c>
      <c r="C33" s="60"/>
      <c r="D33" s="60"/>
      <c r="E33" s="60"/>
      <c r="F33" s="60"/>
      <c r="G33" s="60"/>
      <c r="H33" s="60"/>
      <c r="I33" s="60"/>
      <c r="J33" s="60"/>
      <c r="K33" s="60"/>
      <c r="L33" s="60"/>
      <c r="M33" s="60"/>
      <c r="N33" s="60"/>
      <c r="O33" s="60"/>
      <c r="P33" s="60"/>
      <c r="Q33" s="60"/>
      <c r="R33" s="60"/>
      <c r="S33" s="60"/>
      <c r="T33" s="60"/>
      <c r="U33" s="61"/>
    </row>
    <row r="34" spans="2:21" ht="34.5" customHeight="1" x14ac:dyDescent="0.2">
      <c r="B34" s="59" t="s">
        <v>227</v>
      </c>
      <c r="C34" s="60"/>
      <c r="D34" s="60"/>
      <c r="E34" s="60"/>
      <c r="F34" s="60"/>
      <c r="G34" s="60"/>
      <c r="H34" s="60"/>
      <c r="I34" s="60"/>
      <c r="J34" s="60"/>
      <c r="K34" s="60"/>
      <c r="L34" s="60"/>
      <c r="M34" s="60"/>
      <c r="N34" s="60"/>
      <c r="O34" s="60"/>
      <c r="P34" s="60"/>
      <c r="Q34" s="60"/>
      <c r="R34" s="60"/>
      <c r="S34" s="60"/>
      <c r="T34" s="60"/>
      <c r="U34" s="61"/>
    </row>
    <row r="35" spans="2:21" ht="153.94999999999999" customHeight="1" x14ac:dyDescent="0.2">
      <c r="B35" s="59" t="s">
        <v>228</v>
      </c>
      <c r="C35" s="60"/>
      <c r="D35" s="60"/>
      <c r="E35" s="60"/>
      <c r="F35" s="60"/>
      <c r="G35" s="60"/>
      <c r="H35" s="60"/>
      <c r="I35" s="60"/>
      <c r="J35" s="60"/>
      <c r="K35" s="60"/>
      <c r="L35" s="60"/>
      <c r="M35" s="60"/>
      <c r="N35" s="60"/>
      <c r="O35" s="60"/>
      <c r="P35" s="60"/>
      <c r="Q35" s="60"/>
      <c r="R35" s="60"/>
      <c r="S35" s="60"/>
      <c r="T35" s="60"/>
      <c r="U35" s="61"/>
    </row>
    <row r="36" spans="2:21" ht="92.85" customHeight="1" x14ac:dyDescent="0.2">
      <c r="B36" s="59" t="s">
        <v>229</v>
      </c>
      <c r="C36" s="60"/>
      <c r="D36" s="60"/>
      <c r="E36" s="60"/>
      <c r="F36" s="60"/>
      <c r="G36" s="60"/>
      <c r="H36" s="60"/>
      <c r="I36" s="60"/>
      <c r="J36" s="60"/>
      <c r="K36" s="60"/>
      <c r="L36" s="60"/>
      <c r="M36" s="60"/>
      <c r="N36" s="60"/>
      <c r="O36" s="60"/>
      <c r="P36" s="60"/>
      <c r="Q36" s="60"/>
      <c r="R36" s="60"/>
      <c r="S36" s="60"/>
      <c r="T36" s="60"/>
      <c r="U36" s="61"/>
    </row>
    <row r="37" spans="2:21" ht="96.75" customHeight="1" thickBot="1" x14ac:dyDescent="0.25">
      <c r="B37" s="62" t="s">
        <v>230</v>
      </c>
      <c r="C37" s="63"/>
      <c r="D37" s="63"/>
      <c r="E37" s="63"/>
      <c r="F37" s="63"/>
      <c r="G37" s="63"/>
      <c r="H37" s="63"/>
      <c r="I37" s="63"/>
      <c r="J37" s="63"/>
      <c r="K37" s="63"/>
      <c r="L37" s="63"/>
      <c r="M37" s="63"/>
      <c r="N37" s="63"/>
      <c r="O37" s="63"/>
      <c r="P37" s="63"/>
      <c r="Q37" s="63"/>
      <c r="R37" s="63"/>
      <c r="S37" s="63"/>
      <c r="T37" s="63"/>
      <c r="U37" s="64"/>
    </row>
  </sheetData>
  <mergeCells count="6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B27:U27"/>
    <mergeCell ref="C18:H18"/>
    <mergeCell ref="I18:K18"/>
    <mergeCell ref="L18:O18"/>
    <mergeCell ref="C19:H19"/>
    <mergeCell ref="I19:K19"/>
    <mergeCell ref="L19:O19"/>
    <mergeCell ref="C20:H20"/>
    <mergeCell ref="I20:K20"/>
    <mergeCell ref="L20:O20"/>
    <mergeCell ref="B24:D24"/>
    <mergeCell ref="B25:D25"/>
    <mergeCell ref="B34:U34"/>
    <mergeCell ref="B35:U35"/>
    <mergeCell ref="B36:U36"/>
    <mergeCell ref="B37:U37"/>
    <mergeCell ref="B28:U28"/>
    <mergeCell ref="B29:U29"/>
    <mergeCell ref="B30:U30"/>
    <mergeCell ref="B31:U31"/>
    <mergeCell ref="B32:U32"/>
    <mergeCell ref="B33:U33"/>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584</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231</v>
      </c>
      <c r="D4" s="99" t="s">
        <v>232</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233</v>
      </c>
      <c r="Q6" s="80"/>
      <c r="R6" s="21"/>
      <c r="S6" s="20" t="s">
        <v>22</v>
      </c>
      <c r="T6" s="80" t="s">
        <v>234</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235</v>
      </c>
      <c r="D11" s="73"/>
      <c r="E11" s="73"/>
      <c r="F11" s="73"/>
      <c r="G11" s="73"/>
      <c r="H11" s="73"/>
      <c r="I11" s="73" t="s">
        <v>236</v>
      </c>
      <c r="J11" s="73"/>
      <c r="K11" s="73"/>
      <c r="L11" s="73" t="s">
        <v>237</v>
      </c>
      <c r="M11" s="73"/>
      <c r="N11" s="73"/>
      <c r="O11" s="73"/>
      <c r="P11" s="27" t="s">
        <v>48</v>
      </c>
      <c r="Q11" s="27" t="s">
        <v>49</v>
      </c>
      <c r="R11" s="54">
        <v>80</v>
      </c>
      <c r="S11" s="54" t="s">
        <v>44</v>
      </c>
      <c r="T11" s="54" t="s">
        <v>44</v>
      </c>
      <c r="U11" s="28" t="str">
        <f>IF(ISERR(T11/S11*100),"N/A",T11/S11*100)</f>
        <v>N/A</v>
      </c>
    </row>
    <row r="12" spans="1:34" ht="75" customHeight="1" thickBot="1" x14ac:dyDescent="0.25">
      <c r="A12" s="25"/>
      <c r="B12" s="29" t="s">
        <v>45</v>
      </c>
      <c r="C12" s="72" t="s">
        <v>45</v>
      </c>
      <c r="D12" s="72"/>
      <c r="E12" s="72"/>
      <c r="F12" s="72"/>
      <c r="G12" s="72"/>
      <c r="H12" s="72"/>
      <c r="I12" s="72" t="s">
        <v>238</v>
      </c>
      <c r="J12" s="72"/>
      <c r="K12" s="72"/>
      <c r="L12" s="72" t="s">
        <v>239</v>
      </c>
      <c r="M12" s="72"/>
      <c r="N12" s="72"/>
      <c r="O12" s="72"/>
      <c r="P12" s="30" t="s">
        <v>48</v>
      </c>
      <c r="Q12" s="30" t="s">
        <v>75</v>
      </c>
      <c r="R12" s="30">
        <v>5.55</v>
      </c>
      <c r="S12" s="30">
        <v>1.76</v>
      </c>
      <c r="T12" s="30">
        <v>4.6900000000000004</v>
      </c>
      <c r="U12" s="32">
        <f>IF(ISERR(T12/S12*100),"N/A",T12/S12*100)</f>
        <v>266.47727272727275</v>
      </c>
    </row>
    <row r="13" spans="1:34" ht="75" customHeight="1" thickTop="1" thickBot="1" x14ac:dyDescent="0.25">
      <c r="A13" s="25"/>
      <c r="B13" s="26" t="s">
        <v>62</v>
      </c>
      <c r="C13" s="73" t="s">
        <v>240</v>
      </c>
      <c r="D13" s="73"/>
      <c r="E13" s="73"/>
      <c r="F13" s="73"/>
      <c r="G13" s="73"/>
      <c r="H13" s="73"/>
      <c r="I13" s="73" t="s">
        <v>241</v>
      </c>
      <c r="J13" s="73"/>
      <c r="K13" s="73"/>
      <c r="L13" s="73" t="s">
        <v>242</v>
      </c>
      <c r="M13" s="73"/>
      <c r="N13" s="73"/>
      <c r="O13" s="73"/>
      <c r="P13" s="27" t="s">
        <v>48</v>
      </c>
      <c r="Q13" s="27" t="s">
        <v>75</v>
      </c>
      <c r="R13" s="27">
        <v>18.850000000000001</v>
      </c>
      <c r="S13" s="27">
        <v>15.11</v>
      </c>
      <c r="T13" s="27">
        <v>18.75</v>
      </c>
      <c r="U13" s="28">
        <f>IF(ISERR(T13/S13*100),"N/A",T13/S13*100)</f>
        <v>124.0900066181337</v>
      </c>
    </row>
    <row r="14" spans="1:34" ht="75" customHeight="1" thickTop="1" x14ac:dyDescent="0.2">
      <c r="A14" s="25"/>
      <c r="B14" s="26" t="s">
        <v>71</v>
      </c>
      <c r="C14" s="73" t="s">
        <v>243</v>
      </c>
      <c r="D14" s="73"/>
      <c r="E14" s="73"/>
      <c r="F14" s="73"/>
      <c r="G14" s="73"/>
      <c r="H14" s="73"/>
      <c r="I14" s="73" t="s">
        <v>244</v>
      </c>
      <c r="J14" s="73"/>
      <c r="K14" s="73"/>
      <c r="L14" s="73" t="s">
        <v>245</v>
      </c>
      <c r="M14" s="73"/>
      <c r="N14" s="73"/>
      <c r="O14" s="73"/>
      <c r="P14" s="27" t="s">
        <v>246</v>
      </c>
      <c r="Q14" s="27" t="s">
        <v>75</v>
      </c>
      <c r="R14" s="27">
        <v>30</v>
      </c>
      <c r="S14" s="27">
        <v>30.19</v>
      </c>
      <c r="T14" s="27">
        <v>30.82</v>
      </c>
      <c r="U14" s="28">
        <f>IF(ISERR((S14-T14)*100/S14+100),"N/A",(S14-T14)*100/S14+100)</f>
        <v>97.913216296787013</v>
      </c>
    </row>
    <row r="15" spans="1:34" ht="75" customHeight="1" x14ac:dyDescent="0.2">
      <c r="A15" s="25"/>
      <c r="B15" s="29" t="s">
        <v>45</v>
      </c>
      <c r="C15" s="72" t="s">
        <v>45</v>
      </c>
      <c r="D15" s="72"/>
      <c r="E15" s="72"/>
      <c r="F15" s="72"/>
      <c r="G15" s="72"/>
      <c r="H15" s="72"/>
      <c r="I15" s="72" t="s">
        <v>247</v>
      </c>
      <c r="J15" s="72"/>
      <c r="K15" s="72"/>
      <c r="L15" s="72" t="s">
        <v>248</v>
      </c>
      <c r="M15" s="72"/>
      <c r="N15" s="72"/>
      <c r="O15" s="72"/>
      <c r="P15" s="30" t="s">
        <v>48</v>
      </c>
      <c r="Q15" s="30" t="s">
        <v>249</v>
      </c>
      <c r="R15" s="30">
        <v>93.97</v>
      </c>
      <c r="S15" s="30">
        <v>94.05</v>
      </c>
      <c r="T15" s="30">
        <v>93.66</v>
      </c>
      <c r="U15" s="32">
        <f>IF(ISERR(T15/S15*100),"N/A",T15/S15*100)</f>
        <v>99.585326953748009</v>
      </c>
    </row>
    <row r="16" spans="1:34" ht="75" customHeight="1" x14ac:dyDescent="0.2">
      <c r="A16" s="25"/>
      <c r="B16" s="29" t="s">
        <v>45</v>
      </c>
      <c r="C16" s="72" t="s">
        <v>250</v>
      </c>
      <c r="D16" s="72"/>
      <c r="E16" s="72"/>
      <c r="F16" s="72"/>
      <c r="G16" s="72"/>
      <c r="H16" s="72"/>
      <c r="I16" s="72" t="s">
        <v>251</v>
      </c>
      <c r="J16" s="72"/>
      <c r="K16" s="72"/>
      <c r="L16" s="72" t="s">
        <v>252</v>
      </c>
      <c r="M16" s="72"/>
      <c r="N16" s="72"/>
      <c r="O16" s="72"/>
      <c r="P16" s="30" t="s">
        <v>48</v>
      </c>
      <c r="Q16" s="30" t="s">
        <v>75</v>
      </c>
      <c r="R16" s="30">
        <v>10.78</v>
      </c>
      <c r="S16" s="30">
        <v>8.68</v>
      </c>
      <c r="T16" s="30">
        <v>10.44</v>
      </c>
      <c r="U16" s="32">
        <f>IF(ISERR(T16/S16*100),"N/A",T16/S16*100)</f>
        <v>120.27649769585254</v>
      </c>
    </row>
    <row r="17" spans="1:22" ht="75" customHeight="1" thickBot="1" x14ac:dyDescent="0.25">
      <c r="A17" s="25"/>
      <c r="B17" s="29" t="s">
        <v>45</v>
      </c>
      <c r="C17" s="72" t="s">
        <v>45</v>
      </c>
      <c r="D17" s="72"/>
      <c r="E17" s="72"/>
      <c r="F17" s="72"/>
      <c r="G17" s="72"/>
      <c r="H17" s="72"/>
      <c r="I17" s="72" t="s">
        <v>253</v>
      </c>
      <c r="J17" s="72"/>
      <c r="K17" s="72"/>
      <c r="L17" s="72" t="s">
        <v>254</v>
      </c>
      <c r="M17" s="72"/>
      <c r="N17" s="72"/>
      <c r="O17" s="72"/>
      <c r="P17" s="30" t="s">
        <v>48</v>
      </c>
      <c r="Q17" s="30" t="s">
        <v>75</v>
      </c>
      <c r="R17" s="30">
        <v>8.49</v>
      </c>
      <c r="S17" s="30">
        <v>7.83</v>
      </c>
      <c r="T17" s="30">
        <v>8.8699999999999992</v>
      </c>
      <c r="U17" s="32">
        <f>IF(ISERR(T17/S17*100),"N/A",T17/S17*100)</f>
        <v>113.28224776500637</v>
      </c>
    </row>
    <row r="18" spans="1:22" ht="75" customHeight="1" thickTop="1" x14ac:dyDescent="0.2">
      <c r="A18" s="25"/>
      <c r="B18" s="26" t="s">
        <v>87</v>
      </c>
      <c r="C18" s="73" t="s">
        <v>255</v>
      </c>
      <c r="D18" s="73"/>
      <c r="E18" s="73"/>
      <c r="F18" s="73"/>
      <c r="G18" s="73"/>
      <c r="H18" s="73"/>
      <c r="I18" s="73" t="s">
        <v>256</v>
      </c>
      <c r="J18" s="73"/>
      <c r="K18" s="73"/>
      <c r="L18" s="73" t="s">
        <v>257</v>
      </c>
      <c r="M18" s="73"/>
      <c r="N18" s="73"/>
      <c r="O18" s="73"/>
      <c r="P18" s="27" t="s">
        <v>48</v>
      </c>
      <c r="Q18" s="27" t="s">
        <v>258</v>
      </c>
      <c r="R18" s="27">
        <v>86.84</v>
      </c>
      <c r="S18" s="27">
        <v>85.77</v>
      </c>
      <c r="T18" s="27">
        <v>89.63</v>
      </c>
      <c r="U18" s="28">
        <f>IF(ISERR(T18/S18*100),"N/A",T18/S18*100)</f>
        <v>104.50040806808907</v>
      </c>
    </row>
    <row r="19" spans="1:22" ht="75" customHeight="1" thickBot="1" x14ac:dyDescent="0.25">
      <c r="A19" s="25"/>
      <c r="B19" s="29" t="s">
        <v>45</v>
      </c>
      <c r="C19" s="72" t="s">
        <v>259</v>
      </c>
      <c r="D19" s="72"/>
      <c r="E19" s="72"/>
      <c r="F19" s="72"/>
      <c r="G19" s="72"/>
      <c r="H19" s="72"/>
      <c r="I19" s="72" t="s">
        <v>260</v>
      </c>
      <c r="J19" s="72"/>
      <c r="K19" s="72"/>
      <c r="L19" s="72" t="s">
        <v>261</v>
      </c>
      <c r="M19" s="72"/>
      <c r="N19" s="72"/>
      <c r="O19" s="72"/>
      <c r="P19" s="30" t="s">
        <v>48</v>
      </c>
      <c r="Q19" s="30" t="s">
        <v>258</v>
      </c>
      <c r="R19" s="30">
        <v>90.5</v>
      </c>
      <c r="S19" s="30">
        <v>90</v>
      </c>
      <c r="T19" s="30">
        <v>91.01</v>
      </c>
      <c r="U19" s="32">
        <f>IF(ISERR(T19/S19*100),"N/A",T19/S19*100)</f>
        <v>101.12222222222222</v>
      </c>
    </row>
    <row r="20" spans="1:22" ht="22.5" customHeight="1" thickTop="1" thickBot="1" x14ac:dyDescent="0.25">
      <c r="B20" s="8" t="s">
        <v>98</v>
      </c>
      <c r="C20" s="9"/>
      <c r="D20" s="9"/>
      <c r="E20" s="9"/>
      <c r="F20" s="9"/>
      <c r="G20" s="9"/>
      <c r="H20" s="10"/>
      <c r="I20" s="10"/>
      <c r="J20" s="10"/>
      <c r="K20" s="10"/>
      <c r="L20" s="10"/>
      <c r="M20" s="10"/>
      <c r="N20" s="10"/>
      <c r="O20" s="10"/>
      <c r="P20" s="10"/>
      <c r="Q20" s="10"/>
      <c r="R20" s="10"/>
      <c r="S20" s="10"/>
      <c r="T20" s="10"/>
      <c r="U20" s="11"/>
      <c r="V20" s="33"/>
    </row>
    <row r="21" spans="1:22" ht="26.25" customHeight="1" thickTop="1" x14ac:dyDescent="0.2">
      <c r="B21" s="34"/>
      <c r="C21" s="35"/>
      <c r="D21" s="35"/>
      <c r="E21" s="35"/>
      <c r="F21" s="35"/>
      <c r="G21" s="35"/>
      <c r="H21" s="36"/>
      <c r="I21" s="36"/>
      <c r="J21" s="36"/>
      <c r="K21" s="36"/>
      <c r="L21" s="36"/>
      <c r="M21" s="36"/>
      <c r="N21" s="36"/>
      <c r="O21" s="36"/>
      <c r="P21" s="37"/>
      <c r="Q21" s="38"/>
      <c r="R21" s="39" t="s">
        <v>99</v>
      </c>
      <c r="S21" s="22" t="s">
        <v>100</v>
      </c>
      <c r="T21" s="39" t="s">
        <v>101</v>
      </c>
      <c r="U21" s="22" t="s">
        <v>102</v>
      </c>
    </row>
    <row r="22" spans="1:22" ht="26.25" customHeight="1" thickBot="1" x14ac:dyDescent="0.25">
      <c r="B22" s="40"/>
      <c r="C22" s="41"/>
      <c r="D22" s="41"/>
      <c r="E22" s="41"/>
      <c r="F22" s="41"/>
      <c r="G22" s="41"/>
      <c r="H22" s="42"/>
      <c r="I22" s="42"/>
      <c r="J22" s="42"/>
      <c r="K22" s="42"/>
      <c r="L22" s="42"/>
      <c r="M22" s="42"/>
      <c r="N22" s="42"/>
      <c r="O22" s="42"/>
      <c r="P22" s="43"/>
      <c r="Q22" s="44"/>
      <c r="R22" s="45" t="s">
        <v>103</v>
      </c>
      <c r="S22" s="44" t="s">
        <v>103</v>
      </c>
      <c r="T22" s="44" t="s">
        <v>103</v>
      </c>
      <c r="U22" s="44" t="s">
        <v>104</v>
      </c>
    </row>
    <row r="23" spans="1:22" ht="13.5" customHeight="1" thickBot="1" x14ac:dyDescent="0.25">
      <c r="B23" s="65" t="s">
        <v>105</v>
      </c>
      <c r="C23" s="66"/>
      <c r="D23" s="66"/>
      <c r="E23" s="46"/>
      <c r="F23" s="46"/>
      <c r="G23" s="46"/>
      <c r="H23" s="47"/>
      <c r="I23" s="47"/>
      <c r="J23" s="47"/>
      <c r="K23" s="47"/>
      <c r="L23" s="47"/>
      <c r="M23" s="47"/>
      <c r="N23" s="47"/>
      <c r="O23" s="47"/>
      <c r="P23" s="48"/>
      <c r="Q23" s="48"/>
      <c r="R23" s="49">
        <f>6122.728558</f>
        <v>6122.7285579999998</v>
      </c>
      <c r="S23" s="49">
        <f>4235.233341</f>
        <v>4235.2333410000001</v>
      </c>
      <c r="T23" s="49">
        <f>4041.29338728</f>
        <v>4041.2933872799999</v>
      </c>
      <c r="U23" s="50">
        <f>+IF(ISERR(T23/S23*100),"N/A",T23/S23*100)</f>
        <v>95.420796492072185</v>
      </c>
    </row>
    <row r="24" spans="1:22" ht="13.5" customHeight="1" thickBot="1" x14ac:dyDescent="0.25">
      <c r="B24" s="67" t="s">
        <v>106</v>
      </c>
      <c r="C24" s="68"/>
      <c r="D24" s="68"/>
      <c r="E24" s="51"/>
      <c r="F24" s="51"/>
      <c r="G24" s="51"/>
      <c r="H24" s="52"/>
      <c r="I24" s="52"/>
      <c r="J24" s="52"/>
      <c r="K24" s="52"/>
      <c r="L24" s="52"/>
      <c r="M24" s="52"/>
      <c r="N24" s="52"/>
      <c r="O24" s="52"/>
      <c r="P24" s="53"/>
      <c r="Q24" s="53"/>
      <c r="R24" s="49">
        <f>5786.661621</f>
        <v>5786.6616210000002</v>
      </c>
      <c r="S24" s="49">
        <f>4080.364864</f>
        <v>4080.3648640000001</v>
      </c>
      <c r="T24" s="49">
        <f>4041.29338728</f>
        <v>4041.2933872799999</v>
      </c>
      <c r="U24" s="50">
        <f>+IF(ISERR(T24/S24*100),"N/A",T24/S24*100)</f>
        <v>99.04245139779735</v>
      </c>
    </row>
    <row r="25" spans="1:22" ht="14.85" customHeight="1" thickTop="1" thickBot="1" x14ac:dyDescent="0.25">
      <c r="B25" s="8" t="s">
        <v>107</v>
      </c>
      <c r="C25" s="9"/>
      <c r="D25" s="9"/>
      <c r="E25" s="9"/>
      <c r="F25" s="9"/>
      <c r="G25" s="9"/>
      <c r="H25" s="10"/>
      <c r="I25" s="10"/>
      <c r="J25" s="10"/>
      <c r="K25" s="10"/>
      <c r="L25" s="10"/>
      <c r="M25" s="10"/>
      <c r="N25" s="10"/>
      <c r="O25" s="10"/>
      <c r="P25" s="10"/>
      <c r="Q25" s="10"/>
      <c r="R25" s="10"/>
      <c r="S25" s="10"/>
      <c r="T25" s="10"/>
      <c r="U25" s="11"/>
    </row>
    <row r="26" spans="1:22" ht="44.25" customHeight="1" thickTop="1" x14ac:dyDescent="0.2">
      <c r="B26" s="69" t="s">
        <v>108</v>
      </c>
      <c r="C26" s="70"/>
      <c r="D26" s="70"/>
      <c r="E26" s="70"/>
      <c r="F26" s="70"/>
      <c r="G26" s="70"/>
      <c r="H26" s="70"/>
      <c r="I26" s="70"/>
      <c r="J26" s="70"/>
      <c r="K26" s="70"/>
      <c r="L26" s="70"/>
      <c r="M26" s="70"/>
      <c r="N26" s="70"/>
      <c r="O26" s="70"/>
      <c r="P26" s="70"/>
      <c r="Q26" s="70"/>
      <c r="R26" s="70"/>
      <c r="S26" s="70"/>
      <c r="T26" s="70"/>
      <c r="U26" s="71"/>
    </row>
    <row r="27" spans="1:22" ht="34.5" customHeight="1" x14ac:dyDescent="0.2">
      <c r="B27" s="59" t="s">
        <v>262</v>
      </c>
      <c r="C27" s="60"/>
      <c r="D27" s="60"/>
      <c r="E27" s="60"/>
      <c r="F27" s="60"/>
      <c r="G27" s="60"/>
      <c r="H27" s="60"/>
      <c r="I27" s="60"/>
      <c r="J27" s="60"/>
      <c r="K27" s="60"/>
      <c r="L27" s="60"/>
      <c r="M27" s="60"/>
      <c r="N27" s="60"/>
      <c r="O27" s="60"/>
      <c r="P27" s="60"/>
      <c r="Q27" s="60"/>
      <c r="R27" s="60"/>
      <c r="S27" s="60"/>
      <c r="T27" s="60"/>
      <c r="U27" s="61"/>
    </row>
    <row r="28" spans="1:22" ht="73.349999999999994" customHeight="1" x14ac:dyDescent="0.2">
      <c r="B28" s="59" t="s">
        <v>263</v>
      </c>
      <c r="C28" s="60"/>
      <c r="D28" s="60"/>
      <c r="E28" s="60"/>
      <c r="F28" s="60"/>
      <c r="G28" s="60"/>
      <c r="H28" s="60"/>
      <c r="I28" s="60"/>
      <c r="J28" s="60"/>
      <c r="K28" s="60"/>
      <c r="L28" s="60"/>
      <c r="M28" s="60"/>
      <c r="N28" s="60"/>
      <c r="O28" s="60"/>
      <c r="P28" s="60"/>
      <c r="Q28" s="60"/>
      <c r="R28" s="60"/>
      <c r="S28" s="60"/>
      <c r="T28" s="60"/>
      <c r="U28" s="61"/>
    </row>
    <row r="29" spans="1:22" ht="60" customHeight="1" x14ac:dyDescent="0.2">
      <c r="B29" s="59" t="s">
        <v>264</v>
      </c>
      <c r="C29" s="60"/>
      <c r="D29" s="60"/>
      <c r="E29" s="60"/>
      <c r="F29" s="60"/>
      <c r="G29" s="60"/>
      <c r="H29" s="60"/>
      <c r="I29" s="60"/>
      <c r="J29" s="60"/>
      <c r="K29" s="60"/>
      <c r="L29" s="60"/>
      <c r="M29" s="60"/>
      <c r="N29" s="60"/>
      <c r="O29" s="60"/>
      <c r="P29" s="60"/>
      <c r="Q29" s="60"/>
      <c r="R29" s="60"/>
      <c r="S29" s="60"/>
      <c r="T29" s="60"/>
      <c r="U29" s="61"/>
    </row>
    <row r="30" spans="1:22" ht="59.25" customHeight="1" x14ac:dyDescent="0.2">
      <c r="B30" s="59" t="s">
        <v>265</v>
      </c>
      <c r="C30" s="60"/>
      <c r="D30" s="60"/>
      <c r="E30" s="60"/>
      <c r="F30" s="60"/>
      <c r="G30" s="60"/>
      <c r="H30" s="60"/>
      <c r="I30" s="60"/>
      <c r="J30" s="60"/>
      <c r="K30" s="60"/>
      <c r="L30" s="60"/>
      <c r="M30" s="60"/>
      <c r="N30" s="60"/>
      <c r="O30" s="60"/>
      <c r="P30" s="60"/>
      <c r="Q30" s="60"/>
      <c r="R30" s="60"/>
      <c r="S30" s="60"/>
      <c r="T30" s="60"/>
      <c r="U30" s="61"/>
    </row>
    <row r="31" spans="1:22" ht="121.5" customHeight="1" x14ac:dyDescent="0.2">
      <c r="B31" s="59" t="s">
        <v>266</v>
      </c>
      <c r="C31" s="60"/>
      <c r="D31" s="60"/>
      <c r="E31" s="60"/>
      <c r="F31" s="60"/>
      <c r="G31" s="60"/>
      <c r="H31" s="60"/>
      <c r="I31" s="60"/>
      <c r="J31" s="60"/>
      <c r="K31" s="60"/>
      <c r="L31" s="60"/>
      <c r="M31" s="60"/>
      <c r="N31" s="60"/>
      <c r="O31" s="60"/>
      <c r="P31" s="60"/>
      <c r="Q31" s="60"/>
      <c r="R31" s="60"/>
      <c r="S31" s="60"/>
      <c r="T31" s="60"/>
      <c r="U31" s="61"/>
    </row>
    <row r="32" spans="1:22" ht="63.6" customHeight="1" x14ac:dyDescent="0.2">
      <c r="B32" s="59" t="s">
        <v>267</v>
      </c>
      <c r="C32" s="60"/>
      <c r="D32" s="60"/>
      <c r="E32" s="60"/>
      <c r="F32" s="60"/>
      <c r="G32" s="60"/>
      <c r="H32" s="60"/>
      <c r="I32" s="60"/>
      <c r="J32" s="60"/>
      <c r="K32" s="60"/>
      <c r="L32" s="60"/>
      <c r="M32" s="60"/>
      <c r="N32" s="60"/>
      <c r="O32" s="60"/>
      <c r="P32" s="60"/>
      <c r="Q32" s="60"/>
      <c r="R32" s="60"/>
      <c r="S32" s="60"/>
      <c r="T32" s="60"/>
      <c r="U32" s="61"/>
    </row>
    <row r="33" spans="2:21" ht="101.45" customHeight="1" x14ac:dyDescent="0.2">
      <c r="B33" s="59" t="s">
        <v>268</v>
      </c>
      <c r="C33" s="60"/>
      <c r="D33" s="60"/>
      <c r="E33" s="60"/>
      <c r="F33" s="60"/>
      <c r="G33" s="60"/>
      <c r="H33" s="60"/>
      <c r="I33" s="60"/>
      <c r="J33" s="60"/>
      <c r="K33" s="60"/>
      <c r="L33" s="60"/>
      <c r="M33" s="60"/>
      <c r="N33" s="60"/>
      <c r="O33" s="60"/>
      <c r="P33" s="60"/>
      <c r="Q33" s="60"/>
      <c r="R33" s="60"/>
      <c r="S33" s="60"/>
      <c r="T33" s="60"/>
      <c r="U33" s="61"/>
    </row>
    <row r="34" spans="2:21" ht="59.85" customHeight="1" x14ac:dyDescent="0.2">
      <c r="B34" s="59" t="s">
        <v>269</v>
      </c>
      <c r="C34" s="60"/>
      <c r="D34" s="60"/>
      <c r="E34" s="60"/>
      <c r="F34" s="60"/>
      <c r="G34" s="60"/>
      <c r="H34" s="60"/>
      <c r="I34" s="60"/>
      <c r="J34" s="60"/>
      <c r="K34" s="60"/>
      <c r="L34" s="60"/>
      <c r="M34" s="60"/>
      <c r="N34" s="60"/>
      <c r="O34" s="60"/>
      <c r="P34" s="60"/>
      <c r="Q34" s="60"/>
      <c r="R34" s="60"/>
      <c r="S34" s="60"/>
      <c r="T34" s="60"/>
      <c r="U34" s="61"/>
    </row>
    <row r="35" spans="2:21" ht="72.95" customHeight="1" thickBot="1" x14ac:dyDescent="0.25">
      <c r="B35" s="62" t="s">
        <v>270</v>
      </c>
      <c r="C35" s="63"/>
      <c r="D35" s="63"/>
      <c r="E35" s="63"/>
      <c r="F35" s="63"/>
      <c r="G35" s="63"/>
      <c r="H35" s="63"/>
      <c r="I35" s="63"/>
      <c r="J35" s="63"/>
      <c r="K35" s="63"/>
      <c r="L35" s="63"/>
      <c r="M35" s="63"/>
      <c r="N35" s="63"/>
      <c r="O35" s="63"/>
      <c r="P35" s="63"/>
      <c r="Q35" s="63"/>
      <c r="R35" s="63"/>
      <c r="S35" s="63"/>
      <c r="T35" s="63"/>
      <c r="U35" s="64"/>
    </row>
  </sheetData>
  <mergeCells count="6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B35:U35"/>
    <mergeCell ref="B23:D23"/>
    <mergeCell ref="B24:D24"/>
    <mergeCell ref="B26:U26"/>
    <mergeCell ref="B27:U27"/>
    <mergeCell ref="B28:U28"/>
    <mergeCell ref="B29:U29"/>
    <mergeCell ref="B30:U30"/>
    <mergeCell ref="B31:U31"/>
    <mergeCell ref="B32:U32"/>
    <mergeCell ref="B33:U33"/>
    <mergeCell ref="B34:U34"/>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584</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271</v>
      </c>
      <c r="D4" s="99" t="s">
        <v>272</v>
      </c>
      <c r="E4" s="99"/>
      <c r="F4" s="99"/>
      <c r="G4" s="99"/>
      <c r="H4" s="99"/>
      <c r="I4" s="14"/>
      <c r="J4" s="15" t="s">
        <v>9</v>
      </c>
      <c r="K4" s="16" t="s">
        <v>10</v>
      </c>
      <c r="L4" s="100" t="s">
        <v>1</v>
      </c>
      <c r="M4" s="100"/>
      <c r="N4" s="100"/>
      <c r="O4" s="100"/>
      <c r="P4" s="15" t="s">
        <v>11</v>
      </c>
      <c r="Q4" s="100" t="s">
        <v>12</v>
      </c>
      <c r="R4" s="100"/>
      <c r="S4" s="15" t="s">
        <v>13</v>
      </c>
      <c r="T4" s="100" t="s">
        <v>190</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273</v>
      </c>
      <c r="L6" s="80"/>
      <c r="M6" s="80"/>
      <c r="N6" s="19"/>
      <c r="O6" s="20" t="s">
        <v>20</v>
      </c>
      <c r="P6" s="80" t="s">
        <v>274</v>
      </c>
      <c r="Q6" s="80"/>
      <c r="R6" s="21"/>
      <c r="S6" s="20" t="s">
        <v>22</v>
      </c>
      <c r="T6" s="80" t="s">
        <v>275</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276</v>
      </c>
      <c r="D11" s="73"/>
      <c r="E11" s="73"/>
      <c r="F11" s="73"/>
      <c r="G11" s="73"/>
      <c r="H11" s="73"/>
      <c r="I11" s="73" t="s">
        <v>277</v>
      </c>
      <c r="J11" s="73"/>
      <c r="K11" s="73"/>
      <c r="L11" s="73" t="s">
        <v>278</v>
      </c>
      <c r="M11" s="73"/>
      <c r="N11" s="73"/>
      <c r="O11" s="73"/>
      <c r="P11" s="27" t="s">
        <v>48</v>
      </c>
      <c r="Q11" s="27" t="s">
        <v>43</v>
      </c>
      <c r="R11" s="27">
        <v>65.33</v>
      </c>
      <c r="S11" s="27" t="s">
        <v>44</v>
      </c>
      <c r="T11" s="27" t="s">
        <v>44</v>
      </c>
      <c r="U11" s="28" t="str">
        <f t="shared" ref="U11:U19" si="0">IF(ISERR(T11/S11*100),"N/A",T11/S11*100)</f>
        <v>N/A</v>
      </c>
    </row>
    <row r="12" spans="1:34" ht="75" customHeight="1" thickBot="1" x14ac:dyDescent="0.25">
      <c r="A12" s="25"/>
      <c r="B12" s="29" t="s">
        <v>45</v>
      </c>
      <c r="C12" s="72" t="s">
        <v>45</v>
      </c>
      <c r="D12" s="72"/>
      <c r="E12" s="72"/>
      <c r="F12" s="72"/>
      <c r="G12" s="72"/>
      <c r="H12" s="72"/>
      <c r="I12" s="72" t="s">
        <v>279</v>
      </c>
      <c r="J12" s="72"/>
      <c r="K12" s="72"/>
      <c r="L12" s="72" t="s">
        <v>280</v>
      </c>
      <c r="M12" s="72"/>
      <c r="N12" s="72"/>
      <c r="O12" s="72"/>
      <c r="P12" s="30" t="s">
        <v>135</v>
      </c>
      <c r="Q12" s="30" t="s">
        <v>43</v>
      </c>
      <c r="R12" s="30">
        <v>48</v>
      </c>
      <c r="S12" s="30" t="s">
        <v>44</v>
      </c>
      <c r="T12" s="30" t="s">
        <v>44</v>
      </c>
      <c r="U12" s="32" t="str">
        <f t="shared" si="0"/>
        <v>N/A</v>
      </c>
    </row>
    <row r="13" spans="1:34" ht="75" customHeight="1" thickTop="1" x14ac:dyDescent="0.2">
      <c r="A13" s="25"/>
      <c r="B13" s="26" t="s">
        <v>62</v>
      </c>
      <c r="C13" s="73" t="s">
        <v>281</v>
      </c>
      <c r="D13" s="73"/>
      <c r="E13" s="73"/>
      <c r="F13" s="73"/>
      <c r="G13" s="73"/>
      <c r="H13" s="73"/>
      <c r="I13" s="73" t="s">
        <v>282</v>
      </c>
      <c r="J13" s="73"/>
      <c r="K13" s="73"/>
      <c r="L13" s="73" t="s">
        <v>283</v>
      </c>
      <c r="M13" s="73"/>
      <c r="N13" s="73"/>
      <c r="O13" s="73"/>
      <c r="P13" s="27" t="s">
        <v>48</v>
      </c>
      <c r="Q13" s="27" t="s">
        <v>284</v>
      </c>
      <c r="R13" s="27">
        <v>1.85</v>
      </c>
      <c r="S13" s="27" t="s">
        <v>44</v>
      </c>
      <c r="T13" s="27" t="s">
        <v>44</v>
      </c>
      <c r="U13" s="28" t="str">
        <f t="shared" si="0"/>
        <v>N/A</v>
      </c>
    </row>
    <row r="14" spans="1:34" ht="75" customHeight="1" thickBot="1" x14ac:dyDescent="0.25">
      <c r="A14" s="25"/>
      <c r="B14" s="29" t="s">
        <v>45</v>
      </c>
      <c r="C14" s="72" t="s">
        <v>45</v>
      </c>
      <c r="D14" s="72"/>
      <c r="E14" s="72"/>
      <c r="F14" s="72"/>
      <c r="G14" s="72"/>
      <c r="H14" s="72"/>
      <c r="I14" s="72" t="s">
        <v>285</v>
      </c>
      <c r="J14" s="72"/>
      <c r="K14" s="72"/>
      <c r="L14" s="72" t="s">
        <v>286</v>
      </c>
      <c r="M14" s="72"/>
      <c r="N14" s="72"/>
      <c r="O14" s="72"/>
      <c r="P14" s="30" t="s">
        <v>287</v>
      </c>
      <c r="Q14" s="30" t="s">
        <v>43</v>
      </c>
      <c r="R14" s="30">
        <v>7.37</v>
      </c>
      <c r="S14" s="30" t="s">
        <v>44</v>
      </c>
      <c r="T14" s="30" t="s">
        <v>44</v>
      </c>
      <c r="U14" s="32" t="str">
        <f t="shared" si="0"/>
        <v>N/A</v>
      </c>
    </row>
    <row r="15" spans="1:34" ht="75" customHeight="1" thickTop="1" x14ac:dyDescent="0.2">
      <c r="A15" s="25"/>
      <c r="B15" s="26" t="s">
        <v>71</v>
      </c>
      <c r="C15" s="73" t="s">
        <v>288</v>
      </c>
      <c r="D15" s="73"/>
      <c r="E15" s="73"/>
      <c r="F15" s="73"/>
      <c r="G15" s="73"/>
      <c r="H15" s="73"/>
      <c r="I15" s="73" t="s">
        <v>289</v>
      </c>
      <c r="J15" s="73"/>
      <c r="K15" s="73"/>
      <c r="L15" s="73" t="s">
        <v>290</v>
      </c>
      <c r="M15" s="73"/>
      <c r="N15" s="73"/>
      <c r="O15" s="73"/>
      <c r="P15" s="27" t="s">
        <v>48</v>
      </c>
      <c r="Q15" s="27" t="s">
        <v>291</v>
      </c>
      <c r="R15" s="27">
        <v>66.010000000000005</v>
      </c>
      <c r="S15" s="27">
        <v>76.63</v>
      </c>
      <c r="T15" s="27">
        <v>80.31</v>
      </c>
      <c r="U15" s="28">
        <f t="shared" si="0"/>
        <v>104.80229675061987</v>
      </c>
    </row>
    <row r="16" spans="1:34" ht="75" customHeight="1" thickBot="1" x14ac:dyDescent="0.25">
      <c r="A16" s="25"/>
      <c r="B16" s="29" t="s">
        <v>45</v>
      </c>
      <c r="C16" s="72" t="s">
        <v>292</v>
      </c>
      <c r="D16" s="72"/>
      <c r="E16" s="72"/>
      <c r="F16" s="72"/>
      <c r="G16" s="72"/>
      <c r="H16" s="72"/>
      <c r="I16" s="72" t="s">
        <v>293</v>
      </c>
      <c r="J16" s="72"/>
      <c r="K16" s="72"/>
      <c r="L16" s="72" t="s">
        <v>294</v>
      </c>
      <c r="M16" s="72"/>
      <c r="N16" s="72"/>
      <c r="O16" s="72"/>
      <c r="P16" s="30" t="s">
        <v>48</v>
      </c>
      <c r="Q16" s="30" t="s">
        <v>291</v>
      </c>
      <c r="R16" s="30">
        <v>23.44</v>
      </c>
      <c r="S16" s="30">
        <v>23.25</v>
      </c>
      <c r="T16" s="30">
        <v>23.92</v>
      </c>
      <c r="U16" s="32">
        <f t="shared" si="0"/>
        <v>102.88172043010752</v>
      </c>
    </row>
    <row r="17" spans="1:22" ht="75" customHeight="1" thickTop="1" x14ac:dyDescent="0.2">
      <c r="A17" s="25"/>
      <c r="B17" s="26" t="s">
        <v>87</v>
      </c>
      <c r="C17" s="73" t="s">
        <v>295</v>
      </c>
      <c r="D17" s="73"/>
      <c r="E17" s="73"/>
      <c r="F17" s="73"/>
      <c r="G17" s="73"/>
      <c r="H17" s="73"/>
      <c r="I17" s="73" t="s">
        <v>296</v>
      </c>
      <c r="J17" s="73"/>
      <c r="K17" s="73"/>
      <c r="L17" s="73" t="s">
        <v>297</v>
      </c>
      <c r="M17" s="73"/>
      <c r="N17" s="73"/>
      <c r="O17" s="73"/>
      <c r="P17" s="27" t="s">
        <v>48</v>
      </c>
      <c r="Q17" s="27" t="s">
        <v>91</v>
      </c>
      <c r="R17" s="27">
        <v>92</v>
      </c>
      <c r="S17" s="27">
        <v>91</v>
      </c>
      <c r="T17" s="27">
        <v>93.68</v>
      </c>
      <c r="U17" s="28">
        <f t="shared" si="0"/>
        <v>102.94505494505495</v>
      </c>
    </row>
    <row r="18" spans="1:22" ht="75" customHeight="1" x14ac:dyDescent="0.2">
      <c r="A18" s="25"/>
      <c r="B18" s="29" t="s">
        <v>45</v>
      </c>
      <c r="C18" s="72" t="s">
        <v>298</v>
      </c>
      <c r="D18" s="72"/>
      <c r="E18" s="72"/>
      <c r="F18" s="72"/>
      <c r="G18" s="72"/>
      <c r="H18" s="72"/>
      <c r="I18" s="72" t="s">
        <v>299</v>
      </c>
      <c r="J18" s="72"/>
      <c r="K18" s="72"/>
      <c r="L18" s="72" t="s">
        <v>300</v>
      </c>
      <c r="M18" s="72"/>
      <c r="N18" s="72"/>
      <c r="O18" s="72"/>
      <c r="P18" s="30" t="s">
        <v>48</v>
      </c>
      <c r="Q18" s="30" t="s">
        <v>301</v>
      </c>
      <c r="R18" s="30">
        <v>95</v>
      </c>
      <c r="S18" s="30">
        <v>95</v>
      </c>
      <c r="T18" s="30">
        <v>98.3</v>
      </c>
      <c r="U18" s="32">
        <f t="shared" si="0"/>
        <v>103.47368421052632</v>
      </c>
    </row>
    <row r="19" spans="1:22" ht="75" customHeight="1" thickBot="1" x14ac:dyDescent="0.25">
      <c r="A19" s="25"/>
      <c r="B19" s="29" t="s">
        <v>45</v>
      </c>
      <c r="C19" s="72" t="s">
        <v>302</v>
      </c>
      <c r="D19" s="72"/>
      <c r="E19" s="72"/>
      <c r="F19" s="72"/>
      <c r="G19" s="72"/>
      <c r="H19" s="72"/>
      <c r="I19" s="72" t="s">
        <v>303</v>
      </c>
      <c r="J19" s="72"/>
      <c r="K19" s="72"/>
      <c r="L19" s="72" t="s">
        <v>304</v>
      </c>
      <c r="M19" s="72"/>
      <c r="N19" s="72"/>
      <c r="O19" s="72"/>
      <c r="P19" s="30" t="s">
        <v>48</v>
      </c>
      <c r="Q19" s="30" t="s">
        <v>291</v>
      </c>
      <c r="R19" s="30">
        <v>82.5</v>
      </c>
      <c r="S19" s="30">
        <v>80.75</v>
      </c>
      <c r="T19" s="30">
        <v>76.819999999999993</v>
      </c>
      <c r="U19" s="32">
        <f t="shared" si="0"/>
        <v>95.133126934984517</v>
      </c>
    </row>
    <row r="20" spans="1:22" ht="22.5" customHeight="1" thickTop="1" thickBot="1" x14ac:dyDescent="0.25">
      <c r="B20" s="8" t="s">
        <v>98</v>
      </c>
      <c r="C20" s="9"/>
      <c r="D20" s="9"/>
      <c r="E20" s="9"/>
      <c r="F20" s="9"/>
      <c r="G20" s="9"/>
      <c r="H20" s="10"/>
      <c r="I20" s="10"/>
      <c r="J20" s="10"/>
      <c r="K20" s="10"/>
      <c r="L20" s="10"/>
      <c r="M20" s="10"/>
      <c r="N20" s="10"/>
      <c r="O20" s="10"/>
      <c r="P20" s="10"/>
      <c r="Q20" s="10"/>
      <c r="R20" s="10"/>
      <c r="S20" s="10"/>
      <c r="T20" s="10"/>
      <c r="U20" s="11"/>
      <c r="V20" s="33"/>
    </row>
    <row r="21" spans="1:22" ht="26.25" customHeight="1" thickTop="1" x14ac:dyDescent="0.2">
      <c r="B21" s="34"/>
      <c r="C21" s="35"/>
      <c r="D21" s="35"/>
      <c r="E21" s="35"/>
      <c r="F21" s="35"/>
      <c r="G21" s="35"/>
      <c r="H21" s="36"/>
      <c r="I21" s="36"/>
      <c r="J21" s="36"/>
      <c r="K21" s="36"/>
      <c r="L21" s="36"/>
      <c r="M21" s="36"/>
      <c r="N21" s="36"/>
      <c r="O21" s="36"/>
      <c r="P21" s="37"/>
      <c r="Q21" s="38"/>
      <c r="R21" s="39" t="s">
        <v>99</v>
      </c>
      <c r="S21" s="22" t="s">
        <v>100</v>
      </c>
      <c r="T21" s="39" t="s">
        <v>101</v>
      </c>
      <c r="U21" s="22" t="s">
        <v>102</v>
      </c>
    </row>
    <row r="22" spans="1:22" ht="26.25" customHeight="1" thickBot="1" x14ac:dyDescent="0.25">
      <c r="B22" s="40"/>
      <c r="C22" s="41"/>
      <c r="D22" s="41"/>
      <c r="E22" s="41"/>
      <c r="F22" s="41"/>
      <c r="G22" s="41"/>
      <c r="H22" s="42"/>
      <c r="I22" s="42"/>
      <c r="J22" s="42"/>
      <c r="K22" s="42"/>
      <c r="L22" s="42"/>
      <c r="M22" s="42"/>
      <c r="N22" s="42"/>
      <c r="O22" s="42"/>
      <c r="P22" s="43"/>
      <c r="Q22" s="44"/>
      <c r="R22" s="45" t="s">
        <v>103</v>
      </c>
      <c r="S22" s="44" t="s">
        <v>103</v>
      </c>
      <c r="T22" s="44" t="s">
        <v>103</v>
      </c>
      <c r="U22" s="44" t="s">
        <v>104</v>
      </c>
    </row>
    <row r="23" spans="1:22" ht="13.5" customHeight="1" thickBot="1" x14ac:dyDescent="0.25">
      <c r="B23" s="65" t="s">
        <v>105</v>
      </c>
      <c r="C23" s="66"/>
      <c r="D23" s="66"/>
      <c r="E23" s="46"/>
      <c r="F23" s="46"/>
      <c r="G23" s="46"/>
      <c r="H23" s="47"/>
      <c r="I23" s="47"/>
      <c r="J23" s="47"/>
      <c r="K23" s="47"/>
      <c r="L23" s="47"/>
      <c r="M23" s="47"/>
      <c r="N23" s="47"/>
      <c r="O23" s="47"/>
      <c r="P23" s="48"/>
      <c r="Q23" s="48"/>
      <c r="R23" s="49">
        <f>11908.219972</f>
        <v>11908.219972000001</v>
      </c>
      <c r="S23" s="49">
        <f>8522.280307</f>
        <v>8522.2803070000009</v>
      </c>
      <c r="T23" s="49">
        <f>7887.26215806</f>
        <v>7887.2621580599998</v>
      </c>
      <c r="U23" s="50">
        <f>+IF(ISERR(T23/S23*100),"N/A",T23/S23*100)</f>
        <v>92.548729611505365</v>
      </c>
    </row>
    <row r="24" spans="1:22" ht="13.5" customHeight="1" thickBot="1" x14ac:dyDescent="0.25">
      <c r="B24" s="67" t="s">
        <v>106</v>
      </c>
      <c r="C24" s="68"/>
      <c r="D24" s="68"/>
      <c r="E24" s="51"/>
      <c r="F24" s="51"/>
      <c r="G24" s="51"/>
      <c r="H24" s="52"/>
      <c r="I24" s="52"/>
      <c r="J24" s="52"/>
      <c r="K24" s="52"/>
      <c r="L24" s="52"/>
      <c r="M24" s="52"/>
      <c r="N24" s="52"/>
      <c r="O24" s="52"/>
      <c r="P24" s="53"/>
      <c r="Q24" s="53"/>
      <c r="R24" s="49">
        <f>11139.371836</f>
        <v>11139.371836</v>
      </c>
      <c r="S24" s="49">
        <f>8065.540945</f>
        <v>8065.5409449999997</v>
      </c>
      <c r="T24" s="49">
        <f>7887.26215806</f>
        <v>7887.2621580599998</v>
      </c>
      <c r="U24" s="50">
        <f>+IF(ISERR(T24/S24*100),"N/A",T24/S24*100)</f>
        <v>97.789623930301673</v>
      </c>
    </row>
    <row r="25" spans="1:22" ht="14.85" customHeight="1" thickTop="1" thickBot="1" x14ac:dyDescent="0.25">
      <c r="B25" s="8" t="s">
        <v>107</v>
      </c>
      <c r="C25" s="9"/>
      <c r="D25" s="9"/>
      <c r="E25" s="9"/>
      <c r="F25" s="9"/>
      <c r="G25" s="9"/>
      <c r="H25" s="10"/>
      <c r="I25" s="10"/>
      <c r="J25" s="10"/>
      <c r="K25" s="10"/>
      <c r="L25" s="10"/>
      <c r="M25" s="10"/>
      <c r="N25" s="10"/>
      <c r="O25" s="10"/>
      <c r="P25" s="10"/>
      <c r="Q25" s="10"/>
      <c r="R25" s="10"/>
      <c r="S25" s="10"/>
      <c r="T25" s="10"/>
      <c r="U25" s="11"/>
    </row>
    <row r="26" spans="1:22" ht="44.25" customHeight="1" thickTop="1" x14ac:dyDescent="0.2">
      <c r="B26" s="69" t="s">
        <v>108</v>
      </c>
      <c r="C26" s="70"/>
      <c r="D26" s="70"/>
      <c r="E26" s="70"/>
      <c r="F26" s="70"/>
      <c r="G26" s="70"/>
      <c r="H26" s="70"/>
      <c r="I26" s="70"/>
      <c r="J26" s="70"/>
      <c r="K26" s="70"/>
      <c r="L26" s="70"/>
      <c r="M26" s="70"/>
      <c r="N26" s="70"/>
      <c r="O26" s="70"/>
      <c r="P26" s="70"/>
      <c r="Q26" s="70"/>
      <c r="R26" s="70"/>
      <c r="S26" s="70"/>
      <c r="T26" s="70"/>
      <c r="U26" s="71"/>
    </row>
    <row r="27" spans="1:22" ht="34.5" customHeight="1" x14ac:dyDescent="0.2">
      <c r="B27" s="59" t="s">
        <v>305</v>
      </c>
      <c r="C27" s="60"/>
      <c r="D27" s="60"/>
      <c r="E27" s="60"/>
      <c r="F27" s="60"/>
      <c r="G27" s="60"/>
      <c r="H27" s="60"/>
      <c r="I27" s="60"/>
      <c r="J27" s="60"/>
      <c r="K27" s="60"/>
      <c r="L27" s="60"/>
      <c r="M27" s="60"/>
      <c r="N27" s="60"/>
      <c r="O27" s="60"/>
      <c r="P27" s="60"/>
      <c r="Q27" s="60"/>
      <c r="R27" s="60"/>
      <c r="S27" s="60"/>
      <c r="T27" s="60"/>
      <c r="U27" s="61"/>
    </row>
    <row r="28" spans="1:22" ht="34.5" customHeight="1" x14ac:dyDescent="0.2">
      <c r="B28" s="59" t="s">
        <v>306</v>
      </c>
      <c r="C28" s="60"/>
      <c r="D28" s="60"/>
      <c r="E28" s="60"/>
      <c r="F28" s="60"/>
      <c r="G28" s="60"/>
      <c r="H28" s="60"/>
      <c r="I28" s="60"/>
      <c r="J28" s="60"/>
      <c r="K28" s="60"/>
      <c r="L28" s="60"/>
      <c r="M28" s="60"/>
      <c r="N28" s="60"/>
      <c r="O28" s="60"/>
      <c r="P28" s="60"/>
      <c r="Q28" s="60"/>
      <c r="R28" s="60"/>
      <c r="S28" s="60"/>
      <c r="T28" s="60"/>
      <c r="U28" s="61"/>
    </row>
    <row r="29" spans="1:22" ht="34.5" customHeight="1" x14ac:dyDescent="0.2">
      <c r="B29" s="59" t="s">
        <v>307</v>
      </c>
      <c r="C29" s="60"/>
      <c r="D29" s="60"/>
      <c r="E29" s="60"/>
      <c r="F29" s="60"/>
      <c r="G29" s="60"/>
      <c r="H29" s="60"/>
      <c r="I29" s="60"/>
      <c r="J29" s="60"/>
      <c r="K29" s="60"/>
      <c r="L29" s="60"/>
      <c r="M29" s="60"/>
      <c r="N29" s="60"/>
      <c r="O29" s="60"/>
      <c r="P29" s="60"/>
      <c r="Q29" s="60"/>
      <c r="R29" s="60"/>
      <c r="S29" s="60"/>
      <c r="T29" s="60"/>
      <c r="U29" s="61"/>
    </row>
    <row r="30" spans="1:22" ht="34.5" customHeight="1" x14ac:dyDescent="0.2">
      <c r="B30" s="59" t="s">
        <v>308</v>
      </c>
      <c r="C30" s="60"/>
      <c r="D30" s="60"/>
      <c r="E30" s="60"/>
      <c r="F30" s="60"/>
      <c r="G30" s="60"/>
      <c r="H30" s="60"/>
      <c r="I30" s="60"/>
      <c r="J30" s="60"/>
      <c r="K30" s="60"/>
      <c r="L30" s="60"/>
      <c r="M30" s="60"/>
      <c r="N30" s="60"/>
      <c r="O30" s="60"/>
      <c r="P30" s="60"/>
      <c r="Q30" s="60"/>
      <c r="R30" s="60"/>
      <c r="S30" s="60"/>
      <c r="T30" s="60"/>
      <c r="U30" s="61"/>
    </row>
    <row r="31" spans="1:22" ht="78.2" customHeight="1" x14ac:dyDescent="0.2">
      <c r="B31" s="59" t="s">
        <v>309</v>
      </c>
      <c r="C31" s="60"/>
      <c r="D31" s="60"/>
      <c r="E31" s="60"/>
      <c r="F31" s="60"/>
      <c r="G31" s="60"/>
      <c r="H31" s="60"/>
      <c r="I31" s="60"/>
      <c r="J31" s="60"/>
      <c r="K31" s="60"/>
      <c r="L31" s="60"/>
      <c r="M31" s="60"/>
      <c r="N31" s="60"/>
      <c r="O31" s="60"/>
      <c r="P31" s="60"/>
      <c r="Q31" s="60"/>
      <c r="R31" s="60"/>
      <c r="S31" s="60"/>
      <c r="T31" s="60"/>
      <c r="U31" s="61"/>
    </row>
    <row r="32" spans="1:22" ht="58.35" customHeight="1" x14ac:dyDescent="0.2">
      <c r="B32" s="59" t="s">
        <v>310</v>
      </c>
      <c r="C32" s="60"/>
      <c r="D32" s="60"/>
      <c r="E32" s="60"/>
      <c r="F32" s="60"/>
      <c r="G32" s="60"/>
      <c r="H32" s="60"/>
      <c r="I32" s="60"/>
      <c r="J32" s="60"/>
      <c r="K32" s="60"/>
      <c r="L32" s="60"/>
      <c r="M32" s="60"/>
      <c r="N32" s="60"/>
      <c r="O32" s="60"/>
      <c r="P32" s="60"/>
      <c r="Q32" s="60"/>
      <c r="R32" s="60"/>
      <c r="S32" s="60"/>
      <c r="T32" s="60"/>
      <c r="U32" s="61"/>
    </row>
    <row r="33" spans="2:21" ht="41.1" customHeight="1" x14ac:dyDescent="0.2">
      <c r="B33" s="59" t="s">
        <v>311</v>
      </c>
      <c r="C33" s="60"/>
      <c r="D33" s="60"/>
      <c r="E33" s="60"/>
      <c r="F33" s="60"/>
      <c r="G33" s="60"/>
      <c r="H33" s="60"/>
      <c r="I33" s="60"/>
      <c r="J33" s="60"/>
      <c r="K33" s="60"/>
      <c r="L33" s="60"/>
      <c r="M33" s="60"/>
      <c r="N33" s="60"/>
      <c r="O33" s="60"/>
      <c r="P33" s="60"/>
      <c r="Q33" s="60"/>
      <c r="R33" s="60"/>
      <c r="S33" s="60"/>
      <c r="T33" s="60"/>
      <c r="U33" s="61"/>
    </row>
    <row r="34" spans="2:21" ht="41.45" customHeight="1" x14ac:dyDescent="0.2">
      <c r="B34" s="59" t="s">
        <v>312</v>
      </c>
      <c r="C34" s="60"/>
      <c r="D34" s="60"/>
      <c r="E34" s="60"/>
      <c r="F34" s="60"/>
      <c r="G34" s="60"/>
      <c r="H34" s="60"/>
      <c r="I34" s="60"/>
      <c r="J34" s="60"/>
      <c r="K34" s="60"/>
      <c r="L34" s="60"/>
      <c r="M34" s="60"/>
      <c r="N34" s="60"/>
      <c r="O34" s="60"/>
      <c r="P34" s="60"/>
      <c r="Q34" s="60"/>
      <c r="R34" s="60"/>
      <c r="S34" s="60"/>
      <c r="T34" s="60"/>
      <c r="U34" s="61"/>
    </row>
    <row r="35" spans="2:21" ht="64.7" customHeight="1" thickBot="1" x14ac:dyDescent="0.25">
      <c r="B35" s="62" t="s">
        <v>313</v>
      </c>
      <c r="C35" s="63"/>
      <c r="D35" s="63"/>
      <c r="E35" s="63"/>
      <c r="F35" s="63"/>
      <c r="G35" s="63"/>
      <c r="H35" s="63"/>
      <c r="I35" s="63"/>
      <c r="J35" s="63"/>
      <c r="K35" s="63"/>
      <c r="L35" s="63"/>
      <c r="M35" s="63"/>
      <c r="N35" s="63"/>
      <c r="O35" s="63"/>
      <c r="P35" s="63"/>
      <c r="Q35" s="63"/>
      <c r="R35" s="63"/>
      <c r="S35" s="63"/>
      <c r="T35" s="63"/>
      <c r="U35" s="64"/>
    </row>
  </sheetData>
  <mergeCells count="6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B35:U35"/>
    <mergeCell ref="B23:D23"/>
    <mergeCell ref="B24:D24"/>
    <mergeCell ref="B26:U26"/>
    <mergeCell ref="B27:U27"/>
    <mergeCell ref="B28:U28"/>
    <mergeCell ref="B29:U29"/>
    <mergeCell ref="B30:U30"/>
    <mergeCell ref="B31:U31"/>
    <mergeCell ref="B32:U32"/>
    <mergeCell ref="B33:U33"/>
    <mergeCell ref="B34:U34"/>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584</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314</v>
      </c>
      <c r="D4" s="99" t="s">
        <v>315</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130</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316</v>
      </c>
      <c r="D11" s="73"/>
      <c r="E11" s="73"/>
      <c r="F11" s="73"/>
      <c r="G11" s="73"/>
      <c r="H11" s="73"/>
      <c r="I11" s="73" t="s">
        <v>56</v>
      </c>
      <c r="J11" s="73"/>
      <c r="K11" s="73"/>
      <c r="L11" s="73" t="s">
        <v>317</v>
      </c>
      <c r="M11" s="73"/>
      <c r="N11" s="73"/>
      <c r="O11" s="73"/>
      <c r="P11" s="27" t="s">
        <v>132</v>
      </c>
      <c r="Q11" s="27" t="s">
        <v>43</v>
      </c>
      <c r="R11" s="54">
        <v>78.19</v>
      </c>
      <c r="S11" s="54" t="s">
        <v>44</v>
      </c>
      <c r="T11" s="54" t="s">
        <v>44</v>
      </c>
      <c r="U11" s="28" t="str">
        <f>IF(ISERR(T11/S11*100),"N/A",T11/S11*100)</f>
        <v>N/A</v>
      </c>
    </row>
    <row r="12" spans="1:34" ht="75" customHeight="1" thickBot="1" x14ac:dyDescent="0.25">
      <c r="A12" s="25"/>
      <c r="B12" s="29" t="s">
        <v>45</v>
      </c>
      <c r="C12" s="72" t="s">
        <v>45</v>
      </c>
      <c r="D12" s="72"/>
      <c r="E12" s="72"/>
      <c r="F12" s="72"/>
      <c r="G12" s="72"/>
      <c r="H12" s="72"/>
      <c r="I12" s="72" t="s">
        <v>318</v>
      </c>
      <c r="J12" s="72"/>
      <c r="K12" s="72"/>
      <c r="L12" s="72" t="s">
        <v>319</v>
      </c>
      <c r="M12" s="72"/>
      <c r="N12" s="72"/>
      <c r="O12" s="72"/>
      <c r="P12" s="30" t="s">
        <v>135</v>
      </c>
      <c r="Q12" s="30" t="s">
        <v>43</v>
      </c>
      <c r="R12" s="31">
        <v>16</v>
      </c>
      <c r="S12" s="31" t="s">
        <v>44</v>
      </c>
      <c r="T12" s="31" t="s">
        <v>44</v>
      </c>
      <c r="U12" s="32" t="str">
        <f>IF(ISERR((S12-T12)*100/S12+100),"N/A",(S12-T12)*100/S12+100)</f>
        <v>N/A</v>
      </c>
    </row>
    <row r="13" spans="1:34" ht="75" customHeight="1" thickTop="1" thickBot="1" x14ac:dyDescent="0.25">
      <c r="A13" s="25"/>
      <c r="B13" s="26" t="s">
        <v>62</v>
      </c>
      <c r="C13" s="73" t="s">
        <v>320</v>
      </c>
      <c r="D13" s="73"/>
      <c r="E13" s="73"/>
      <c r="F13" s="73"/>
      <c r="G13" s="73"/>
      <c r="H13" s="73"/>
      <c r="I13" s="73" t="s">
        <v>321</v>
      </c>
      <c r="J13" s="73"/>
      <c r="K13" s="73"/>
      <c r="L13" s="73" t="s">
        <v>322</v>
      </c>
      <c r="M13" s="73"/>
      <c r="N13" s="73"/>
      <c r="O13" s="73"/>
      <c r="P13" s="27" t="s">
        <v>323</v>
      </c>
      <c r="Q13" s="27" t="s">
        <v>43</v>
      </c>
      <c r="R13" s="54">
        <v>685.7</v>
      </c>
      <c r="S13" s="54" t="s">
        <v>44</v>
      </c>
      <c r="T13" s="54" t="s">
        <v>44</v>
      </c>
      <c r="U13" s="28" t="str">
        <f>IF(ISERR((S13-T13)*100/S13+100),"N/A",(S13-T13)*100/S13+100)</f>
        <v>N/A</v>
      </c>
    </row>
    <row r="14" spans="1:34" ht="75" customHeight="1" thickTop="1" x14ac:dyDescent="0.2">
      <c r="A14" s="25"/>
      <c r="B14" s="26" t="s">
        <v>71</v>
      </c>
      <c r="C14" s="73" t="s">
        <v>324</v>
      </c>
      <c r="D14" s="73"/>
      <c r="E14" s="73"/>
      <c r="F14" s="73"/>
      <c r="G14" s="73"/>
      <c r="H14" s="73"/>
      <c r="I14" s="73" t="s">
        <v>325</v>
      </c>
      <c r="J14" s="73"/>
      <c r="K14" s="73"/>
      <c r="L14" s="73" t="s">
        <v>326</v>
      </c>
      <c r="M14" s="73"/>
      <c r="N14" s="73"/>
      <c r="O14" s="73"/>
      <c r="P14" s="27" t="s">
        <v>48</v>
      </c>
      <c r="Q14" s="27" t="s">
        <v>139</v>
      </c>
      <c r="R14" s="27">
        <v>8.8000000000000007</v>
      </c>
      <c r="S14" s="27">
        <v>8.8000000000000007</v>
      </c>
      <c r="T14" s="27">
        <v>9.8000000000000007</v>
      </c>
      <c r="U14" s="28">
        <f>IF(ISERR((S14-T14)*100/S14+100),"N/A",(S14-T14)*100/S14+100)</f>
        <v>88.63636363636364</v>
      </c>
    </row>
    <row r="15" spans="1:34" ht="75" customHeight="1" x14ac:dyDescent="0.2">
      <c r="A15" s="25"/>
      <c r="B15" s="29" t="s">
        <v>45</v>
      </c>
      <c r="C15" s="72" t="s">
        <v>45</v>
      </c>
      <c r="D15" s="72"/>
      <c r="E15" s="72"/>
      <c r="F15" s="72"/>
      <c r="G15" s="72"/>
      <c r="H15" s="72"/>
      <c r="I15" s="72" t="s">
        <v>327</v>
      </c>
      <c r="J15" s="72"/>
      <c r="K15" s="72"/>
      <c r="L15" s="72" t="s">
        <v>328</v>
      </c>
      <c r="M15" s="72"/>
      <c r="N15" s="72"/>
      <c r="O15" s="72"/>
      <c r="P15" s="30" t="s">
        <v>48</v>
      </c>
      <c r="Q15" s="30" t="s">
        <v>329</v>
      </c>
      <c r="R15" s="30">
        <v>5</v>
      </c>
      <c r="S15" s="30">
        <v>5</v>
      </c>
      <c r="T15" s="30">
        <v>5.66</v>
      </c>
      <c r="U15" s="32">
        <f>IF(ISERR((S15-T15)*100/S15+100),"N/A",(S15-T15)*100/S15+100)</f>
        <v>86.8</v>
      </c>
    </row>
    <row r="16" spans="1:34" ht="75" customHeight="1" x14ac:dyDescent="0.2">
      <c r="A16" s="25"/>
      <c r="B16" s="29" t="s">
        <v>45</v>
      </c>
      <c r="C16" s="72" t="s">
        <v>330</v>
      </c>
      <c r="D16" s="72"/>
      <c r="E16" s="72"/>
      <c r="F16" s="72"/>
      <c r="G16" s="72"/>
      <c r="H16" s="72"/>
      <c r="I16" s="72" t="s">
        <v>331</v>
      </c>
      <c r="J16" s="72"/>
      <c r="K16" s="72"/>
      <c r="L16" s="72" t="s">
        <v>332</v>
      </c>
      <c r="M16" s="72"/>
      <c r="N16" s="72"/>
      <c r="O16" s="72"/>
      <c r="P16" s="30" t="s">
        <v>323</v>
      </c>
      <c r="Q16" s="30" t="s">
        <v>91</v>
      </c>
      <c r="R16" s="30">
        <v>7.4</v>
      </c>
      <c r="S16" s="30">
        <v>7.4</v>
      </c>
      <c r="T16" s="30">
        <v>7.71</v>
      </c>
      <c r="U16" s="32">
        <f>IF(ISERR((S16-T16)*100/S16+100),"N/A",(S16-T16)*100/S16+100)</f>
        <v>95.810810810810821</v>
      </c>
    </row>
    <row r="17" spans="1:22" ht="75" customHeight="1" x14ac:dyDescent="0.2">
      <c r="A17" s="25"/>
      <c r="B17" s="29" t="s">
        <v>45</v>
      </c>
      <c r="C17" s="72" t="s">
        <v>333</v>
      </c>
      <c r="D17" s="72"/>
      <c r="E17" s="72"/>
      <c r="F17" s="72"/>
      <c r="G17" s="72"/>
      <c r="H17" s="72"/>
      <c r="I17" s="72" t="s">
        <v>334</v>
      </c>
      <c r="J17" s="72"/>
      <c r="K17" s="72"/>
      <c r="L17" s="72" t="s">
        <v>335</v>
      </c>
      <c r="M17" s="72"/>
      <c r="N17" s="72"/>
      <c r="O17" s="72"/>
      <c r="P17" s="30" t="s">
        <v>336</v>
      </c>
      <c r="Q17" s="30" t="s">
        <v>139</v>
      </c>
      <c r="R17" s="30">
        <v>41</v>
      </c>
      <c r="S17" s="30">
        <v>41.2</v>
      </c>
      <c r="T17" s="30">
        <v>44.3</v>
      </c>
      <c r="U17" s="32">
        <f>IF(ISERR(T17/S17*100),"N/A",T17/S17*100)</f>
        <v>107.52427184466018</v>
      </c>
    </row>
    <row r="18" spans="1:22" ht="75" customHeight="1" x14ac:dyDescent="0.2">
      <c r="A18" s="25"/>
      <c r="B18" s="29" t="s">
        <v>45</v>
      </c>
      <c r="C18" s="72" t="s">
        <v>45</v>
      </c>
      <c r="D18" s="72"/>
      <c r="E18" s="72"/>
      <c r="F18" s="72"/>
      <c r="G18" s="72"/>
      <c r="H18" s="72"/>
      <c r="I18" s="72" t="s">
        <v>337</v>
      </c>
      <c r="J18" s="72"/>
      <c r="K18" s="72"/>
      <c r="L18" s="72" t="s">
        <v>338</v>
      </c>
      <c r="M18" s="72"/>
      <c r="N18" s="72"/>
      <c r="O18" s="72"/>
      <c r="P18" s="30" t="s">
        <v>336</v>
      </c>
      <c r="Q18" s="30" t="s">
        <v>139</v>
      </c>
      <c r="R18" s="30">
        <v>83.36</v>
      </c>
      <c r="S18" s="30">
        <v>83.95</v>
      </c>
      <c r="T18" s="30">
        <v>75.400000000000006</v>
      </c>
      <c r="U18" s="32">
        <f>IF(ISERR(T18/S18*100),"N/A",T18/S18*100)</f>
        <v>89.815366289458012</v>
      </c>
    </row>
    <row r="19" spans="1:22" ht="75" customHeight="1" x14ac:dyDescent="0.2">
      <c r="A19" s="25"/>
      <c r="B19" s="29" t="s">
        <v>45</v>
      </c>
      <c r="C19" s="72" t="s">
        <v>339</v>
      </c>
      <c r="D19" s="72"/>
      <c r="E19" s="72"/>
      <c r="F19" s="72"/>
      <c r="G19" s="72"/>
      <c r="H19" s="72"/>
      <c r="I19" s="72" t="s">
        <v>340</v>
      </c>
      <c r="J19" s="72"/>
      <c r="K19" s="72"/>
      <c r="L19" s="72" t="s">
        <v>341</v>
      </c>
      <c r="M19" s="72"/>
      <c r="N19" s="72"/>
      <c r="O19" s="72"/>
      <c r="P19" s="30" t="s">
        <v>342</v>
      </c>
      <c r="Q19" s="30" t="s">
        <v>343</v>
      </c>
      <c r="R19" s="30">
        <v>36.99</v>
      </c>
      <c r="S19" s="30">
        <v>31.33</v>
      </c>
      <c r="T19" s="30">
        <v>36.64</v>
      </c>
      <c r="U19" s="32">
        <f>IF(ISERR((S19-T19)*100/S19+100),"N/A",(S19-T19)*100/S19+100)</f>
        <v>83.051388445579306</v>
      </c>
    </row>
    <row r="20" spans="1:22" ht="75" customHeight="1" x14ac:dyDescent="0.2">
      <c r="A20" s="25"/>
      <c r="B20" s="29" t="s">
        <v>45</v>
      </c>
      <c r="C20" s="72" t="s">
        <v>344</v>
      </c>
      <c r="D20" s="72"/>
      <c r="E20" s="72"/>
      <c r="F20" s="72"/>
      <c r="G20" s="72"/>
      <c r="H20" s="72"/>
      <c r="I20" s="72" t="s">
        <v>345</v>
      </c>
      <c r="J20" s="72"/>
      <c r="K20" s="72"/>
      <c r="L20" s="72" t="s">
        <v>346</v>
      </c>
      <c r="M20" s="72"/>
      <c r="N20" s="72"/>
      <c r="O20" s="72"/>
      <c r="P20" s="30" t="s">
        <v>48</v>
      </c>
      <c r="Q20" s="30" t="s">
        <v>91</v>
      </c>
      <c r="R20" s="31">
        <v>91</v>
      </c>
      <c r="S20" s="31">
        <v>91</v>
      </c>
      <c r="T20" s="31">
        <v>93.79</v>
      </c>
      <c r="U20" s="32">
        <f t="shared" ref="U20:U30" si="0">IF(ISERR(T20/S20*100),"N/A",T20/S20*100)</f>
        <v>103.06593406593407</v>
      </c>
    </row>
    <row r="21" spans="1:22" ht="75" customHeight="1" thickBot="1" x14ac:dyDescent="0.25">
      <c r="A21" s="25"/>
      <c r="B21" s="29" t="s">
        <v>45</v>
      </c>
      <c r="C21" s="72" t="s">
        <v>45</v>
      </c>
      <c r="D21" s="72"/>
      <c r="E21" s="72"/>
      <c r="F21" s="72"/>
      <c r="G21" s="72"/>
      <c r="H21" s="72"/>
      <c r="I21" s="72" t="s">
        <v>347</v>
      </c>
      <c r="J21" s="72"/>
      <c r="K21" s="72"/>
      <c r="L21" s="72" t="s">
        <v>348</v>
      </c>
      <c r="M21" s="72"/>
      <c r="N21" s="72"/>
      <c r="O21" s="72"/>
      <c r="P21" s="30" t="s">
        <v>48</v>
      </c>
      <c r="Q21" s="30" t="s">
        <v>349</v>
      </c>
      <c r="R21" s="31">
        <v>93.5</v>
      </c>
      <c r="S21" s="31">
        <v>93.5</v>
      </c>
      <c r="T21" s="31">
        <v>76.7</v>
      </c>
      <c r="U21" s="32">
        <f t="shared" si="0"/>
        <v>82.032085561497325</v>
      </c>
    </row>
    <row r="22" spans="1:22" ht="75" customHeight="1" thickTop="1" x14ac:dyDescent="0.2">
      <c r="A22" s="25"/>
      <c r="B22" s="26" t="s">
        <v>87</v>
      </c>
      <c r="C22" s="73" t="s">
        <v>350</v>
      </c>
      <c r="D22" s="73"/>
      <c r="E22" s="73"/>
      <c r="F22" s="73"/>
      <c r="G22" s="73"/>
      <c r="H22" s="73"/>
      <c r="I22" s="73" t="s">
        <v>351</v>
      </c>
      <c r="J22" s="73"/>
      <c r="K22" s="73"/>
      <c r="L22" s="73" t="s">
        <v>352</v>
      </c>
      <c r="M22" s="73"/>
      <c r="N22" s="73"/>
      <c r="O22" s="73"/>
      <c r="P22" s="27" t="s">
        <v>353</v>
      </c>
      <c r="Q22" s="27" t="s">
        <v>91</v>
      </c>
      <c r="R22" s="27">
        <v>60</v>
      </c>
      <c r="S22" s="27">
        <v>60</v>
      </c>
      <c r="T22" s="27">
        <v>54</v>
      </c>
      <c r="U22" s="28">
        <f t="shared" si="0"/>
        <v>90</v>
      </c>
    </row>
    <row r="23" spans="1:22" ht="75" customHeight="1" x14ac:dyDescent="0.2">
      <c r="A23" s="25"/>
      <c r="B23" s="29" t="s">
        <v>45</v>
      </c>
      <c r="C23" s="72" t="s">
        <v>45</v>
      </c>
      <c r="D23" s="72"/>
      <c r="E23" s="72"/>
      <c r="F23" s="72"/>
      <c r="G23" s="72"/>
      <c r="H23" s="72"/>
      <c r="I23" s="72" t="s">
        <v>354</v>
      </c>
      <c r="J23" s="72"/>
      <c r="K23" s="72"/>
      <c r="L23" s="72" t="s">
        <v>355</v>
      </c>
      <c r="M23" s="72"/>
      <c r="N23" s="72"/>
      <c r="O23" s="72"/>
      <c r="P23" s="30" t="s">
        <v>353</v>
      </c>
      <c r="Q23" s="30" t="s">
        <v>91</v>
      </c>
      <c r="R23" s="30">
        <v>7</v>
      </c>
      <c r="S23" s="30">
        <v>7</v>
      </c>
      <c r="T23" s="30">
        <v>6.5</v>
      </c>
      <c r="U23" s="32">
        <f t="shared" si="0"/>
        <v>92.857142857142861</v>
      </c>
    </row>
    <row r="24" spans="1:22" ht="75" customHeight="1" x14ac:dyDescent="0.2">
      <c r="A24" s="25"/>
      <c r="B24" s="29" t="s">
        <v>45</v>
      </c>
      <c r="C24" s="72" t="s">
        <v>356</v>
      </c>
      <c r="D24" s="72"/>
      <c r="E24" s="72"/>
      <c r="F24" s="72"/>
      <c r="G24" s="72"/>
      <c r="H24" s="72"/>
      <c r="I24" s="72" t="s">
        <v>357</v>
      </c>
      <c r="J24" s="72"/>
      <c r="K24" s="72"/>
      <c r="L24" s="72" t="s">
        <v>358</v>
      </c>
      <c r="M24" s="72"/>
      <c r="N24" s="72"/>
      <c r="O24" s="72"/>
      <c r="P24" s="30" t="s">
        <v>48</v>
      </c>
      <c r="Q24" s="30" t="s">
        <v>91</v>
      </c>
      <c r="R24" s="30">
        <v>100</v>
      </c>
      <c r="S24" s="30">
        <v>100</v>
      </c>
      <c r="T24" s="30">
        <v>87.96</v>
      </c>
      <c r="U24" s="32">
        <f t="shared" si="0"/>
        <v>87.96</v>
      </c>
    </row>
    <row r="25" spans="1:22" ht="75" customHeight="1" x14ac:dyDescent="0.2">
      <c r="A25" s="25"/>
      <c r="B25" s="29" t="s">
        <v>45</v>
      </c>
      <c r="C25" s="72" t="s">
        <v>359</v>
      </c>
      <c r="D25" s="72"/>
      <c r="E25" s="72"/>
      <c r="F25" s="72"/>
      <c r="G25" s="72"/>
      <c r="H25" s="72"/>
      <c r="I25" s="72" t="s">
        <v>360</v>
      </c>
      <c r="J25" s="72"/>
      <c r="K25" s="72"/>
      <c r="L25" s="72" t="s">
        <v>361</v>
      </c>
      <c r="M25" s="72"/>
      <c r="N25" s="72"/>
      <c r="O25" s="72"/>
      <c r="P25" s="30" t="s">
        <v>336</v>
      </c>
      <c r="Q25" s="30" t="s">
        <v>91</v>
      </c>
      <c r="R25" s="31">
        <v>12966966</v>
      </c>
      <c r="S25" s="31">
        <v>3282978</v>
      </c>
      <c r="T25" s="31">
        <v>3909205</v>
      </c>
      <c r="U25" s="32">
        <f t="shared" si="0"/>
        <v>119.07496791023273</v>
      </c>
    </row>
    <row r="26" spans="1:22" ht="75" customHeight="1" x14ac:dyDescent="0.2">
      <c r="A26" s="25"/>
      <c r="B26" s="29" t="s">
        <v>45</v>
      </c>
      <c r="C26" s="72" t="s">
        <v>45</v>
      </c>
      <c r="D26" s="72"/>
      <c r="E26" s="72"/>
      <c r="F26" s="72"/>
      <c r="G26" s="72"/>
      <c r="H26" s="72"/>
      <c r="I26" s="72" t="s">
        <v>362</v>
      </c>
      <c r="J26" s="72"/>
      <c r="K26" s="72"/>
      <c r="L26" s="72" t="s">
        <v>363</v>
      </c>
      <c r="M26" s="72"/>
      <c r="N26" s="72"/>
      <c r="O26" s="72"/>
      <c r="P26" s="30" t="s">
        <v>336</v>
      </c>
      <c r="Q26" s="30" t="s">
        <v>91</v>
      </c>
      <c r="R26" s="31">
        <v>17201308</v>
      </c>
      <c r="S26" s="31">
        <v>4351714</v>
      </c>
      <c r="T26" s="31">
        <v>4661613</v>
      </c>
      <c r="U26" s="32">
        <f t="shared" si="0"/>
        <v>107.12130898308115</v>
      </c>
    </row>
    <row r="27" spans="1:22" ht="75" customHeight="1" x14ac:dyDescent="0.2">
      <c r="A27" s="25"/>
      <c r="B27" s="29" t="s">
        <v>45</v>
      </c>
      <c r="C27" s="72" t="s">
        <v>364</v>
      </c>
      <c r="D27" s="72"/>
      <c r="E27" s="72"/>
      <c r="F27" s="72"/>
      <c r="G27" s="72"/>
      <c r="H27" s="72"/>
      <c r="I27" s="72" t="s">
        <v>365</v>
      </c>
      <c r="J27" s="72"/>
      <c r="K27" s="72"/>
      <c r="L27" s="72" t="s">
        <v>366</v>
      </c>
      <c r="M27" s="72"/>
      <c r="N27" s="72"/>
      <c r="O27" s="72"/>
      <c r="P27" s="30" t="s">
        <v>367</v>
      </c>
      <c r="Q27" s="30" t="s">
        <v>91</v>
      </c>
      <c r="R27" s="30">
        <v>97.71</v>
      </c>
      <c r="S27" s="30">
        <v>97.8</v>
      </c>
      <c r="T27" s="30">
        <v>99.6</v>
      </c>
      <c r="U27" s="32">
        <f t="shared" si="0"/>
        <v>101.840490797546</v>
      </c>
    </row>
    <row r="28" spans="1:22" ht="75" customHeight="1" x14ac:dyDescent="0.2">
      <c r="A28" s="25"/>
      <c r="B28" s="29" t="s">
        <v>45</v>
      </c>
      <c r="C28" s="72" t="s">
        <v>368</v>
      </c>
      <c r="D28" s="72"/>
      <c r="E28" s="72"/>
      <c r="F28" s="72"/>
      <c r="G28" s="72"/>
      <c r="H28" s="72"/>
      <c r="I28" s="72" t="s">
        <v>369</v>
      </c>
      <c r="J28" s="72"/>
      <c r="K28" s="72"/>
      <c r="L28" s="72" t="s">
        <v>370</v>
      </c>
      <c r="M28" s="72"/>
      <c r="N28" s="72"/>
      <c r="O28" s="72"/>
      <c r="P28" s="30" t="s">
        <v>342</v>
      </c>
      <c r="Q28" s="30" t="s">
        <v>91</v>
      </c>
      <c r="R28" s="30">
        <v>144</v>
      </c>
      <c r="S28" s="30">
        <v>127.26</v>
      </c>
      <c r="T28" s="30">
        <v>91.89</v>
      </c>
      <c r="U28" s="32">
        <f t="shared" si="0"/>
        <v>72.206506364922205</v>
      </c>
    </row>
    <row r="29" spans="1:22" ht="75" customHeight="1" x14ac:dyDescent="0.2">
      <c r="A29" s="25"/>
      <c r="B29" s="29" t="s">
        <v>45</v>
      </c>
      <c r="C29" s="72" t="s">
        <v>371</v>
      </c>
      <c r="D29" s="72"/>
      <c r="E29" s="72"/>
      <c r="F29" s="72"/>
      <c r="G29" s="72"/>
      <c r="H29" s="72"/>
      <c r="I29" s="72" t="s">
        <v>372</v>
      </c>
      <c r="J29" s="72"/>
      <c r="K29" s="72"/>
      <c r="L29" s="72" t="s">
        <v>373</v>
      </c>
      <c r="M29" s="72"/>
      <c r="N29" s="72"/>
      <c r="O29" s="72"/>
      <c r="P29" s="30" t="s">
        <v>374</v>
      </c>
      <c r="Q29" s="30" t="s">
        <v>91</v>
      </c>
      <c r="R29" s="31">
        <v>172000</v>
      </c>
      <c r="S29" s="31">
        <v>43000</v>
      </c>
      <c r="T29" s="31">
        <v>15408</v>
      </c>
      <c r="U29" s="32">
        <f t="shared" si="0"/>
        <v>35.832558139534882</v>
      </c>
    </row>
    <row r="30" spans="1:22" ht="75" customHeight="1" thickBot="1" x14ac:dyDescent="0.25">
      <c r="A30" s="25"/>
      <c r="B30" s="29" t="s">
        <v>45</v>
      </c>
      <c r="C30" s="72" t="s">
        <v>45</v>
      </c>
      <c r="D30" s="72"/>
      <c r="E30" s="72"/>
      <c r="F30" s="72"/>
      <c r="G30" s="72"/>
      <c r="H30" s="72"/>
      <c r="I30" s="72" t="s">
        <v>375</v>
      </c>
      <c r="J30" s="72"/>
      <c r="K30" s="72"/>
      <c r="L30" s="72" t="s">
        <v>376</v>
      </c>
      <c r="M30" s="72"/>
      <c r="N30" s="72"/>
      <c r="O30" s="72"/>
      <c r="P30" s="30" t="s">
        <v>353</v>
      </c>
      <c r="Q30" s="30" t="s">
        <v>91</v>
      </c>
      <c r="R30" s="31">
        <v>733200</v>
      </c>
      <c r="S30" s="31">
        <v>183300</v>
      </c>
      <c r="T30" s="31">
        <v>80805</v>
      </c>
      <c r="U30" s="32">
        <f t="shared" si="0"/>
        <v>44.083469721767592</v>
      </c>
    </row>
    <row r="31" spans="1:22" ht="22.5" customHeight="1" thickTop="1" thickBot="1" x14ac:dyDescent="0.25">
      <c r="B31" s="8" t="s">
        <v>98</v>
      </c>
      <c r="C31" s="9"/>
      <c r="D31" s="9"/>
      <c r="E31" s="9"/>
      <c r="F31" s="9"/>
      <c r="G31" s="9"/>
      <c r="H31" s="10"/>
      <c r="I31" s="10"/>
      <c r="J31" s="10"/>
      <c r="K31" s="10"/>
      <c r="L31" s="10"/>
      <c r="M31" s="10"/>
      <c r="N31" s="10"/>
      <c r="O31" s="10"/>
      <c r="P31" s="10"/>
      <c r="Q31" s="10"/>
      <c r="R31" s="10"/>
      <c r="S31" s="10"/>
      <c r="T31" s="10"/>
      <c r="U31" s="11"/>
      <c r="V31" s="33"/>
    </row>
    <row r="32" spans="1:22" ht="26.25" customHeight="1" thickTop="1" x14ac:dyDescent="0.2">
      <c r="B32" s="34"/>
      <c r="C32" s="35"/>
      <c r="D32" s="35"/>
      <c r="E32" s="35"/>
      <c r="F32" s="35"/>
      <c r="G32" s="35"/>
      <c r="H32" s="36"/>
      <c r="I32" s="36"/>
      <c r="J32" s="36"/>
      <c r="K32" s="36"/>
      <c r="L32" s="36"/>
      <c r="M32" s="36"/>
      <c r="N32" s="36"/>
      <c r="O32" s="36"/>
      <c r="P32" s="37"/>
      <c r="Q32" s="38"/>
      <c r="R32" s="39" t="s">
        <v>99</v>
      </c>
      <c r="S32" s="22" t="s">
        <v>100</v>
      </c>
      <c r="T32" s="39" t="s">
        <v>101</v>
      </c>
      <c r="U32" s="22" t="s">
        <v>102</v>
      </c>
    </row>
    <row r="33" spans="2:21" ht="26.25" customHeight="1" thickBot="1" x14ac:dyDescent="0.25">
      <c r="B33" s="40"/>
      <c r="C33" s="41"/>
      <c r="D33" s="41"/>
      <c r="E33" s="41"/>
      <c r="F33" s="41"/>
      <c r="G33" s="41"/>
      <c r="H33" s="42"/>
      <c r="I33" s="42"/>
      <c r="J33" s="42"/>
      <c r="K33" s="42"/>
      <c r="L33" s="42"/>
      <c r="M33" s="42"/>
      <c r="N33" s="42"/>
      <c r="O33" s="42"/>
      <c r="P33" s="43"/>
      <c r="Q33" s="44"/>
      <c r="R33" s="45" t="s">
        <v>103</v>
      </c>
      <c r="S33" s="44" t="s">
        <v>103</v>
      </c>
      <c r="T33" s="44" t="s">
        <v>103</v>
      </c>
      <c r="U33" s="44" t="s">
        <v>104</v>
      </c>
    </row>
    <row r="34" spans="2:21" ht="13.5" customHeight="1" thickBot="1" x14ac:dyDescent="0.25">
      <c r="B34" s="65" t="s">
        <v>105</v>
      </c>
      <c r="C34" s="66"/>
      <c r="D34" s="66"/>
      <c r="E34" s="46"/>
      <c r="F34" s="46"/>
      <c r="G34" s="46"/>
      <c r="H34" s="47"/>
      <c r="I34" s="47"/>
      <c r="J34" s="47"/>
      <c r="K34" s="47"/>
      <c r="L34" s="47"/>
      <c r="M34" s="47"/>
      <c r="N34" s="47"/>
      <c r="O34" s="47"/>
      <c r="P34" s="48"/>
      <c r="Q34" s="48"/>
      <c r="R34" s="49">
        <f>202644.978661</f>
        <v>202644.978661</v>
      </c>
      <c r="S34" s="49">
        <f>133933.961442</f>
        <v>133933.961442</v>
      </c>
      <c r="T34" s="49">
        <f>137161.8355297</f>
        <v>137161.83552970001</v>
      </c>
      <c r="U34" s="50">
        <f>+IF(ISERR(T34/S34*100),"N/A",T34/S34*100)</f>
        <v>102.410048992016</v>
      </c>
    </row>
    <row r="35" spans="2:21" ht="13.5" customHeight="1" thickBot="1" x14ac:dyDescent="0.25">
      <c r="B35" s="67" t="s">
        <v>106</v>
      </c>
      <c r="C35" s="68"/>
      <c r="D35" s="68"/>
      <c r="E35" s="51"/>
      <c r="F35" s="51"/>
      <c r="G35" s="51"/>
      <c r="H35" s="52"/>
      <c r="I35" s="52"/>
      <c r="J35" s="52"/>
      <c r="K35" s="52"/>
      <c r="L35" s="52"/>
      <c r="M35" s="52"/>
      <c r="N35" s="52"/>
      <c r="O35" s="52"/>
      <c r="P35" s="53"/>
      <c r="Q35" s="53"/>
      <c r="R35" s="49">
        <f>209791.54844832</f>
        <v>209791.54844832001</v>
      </c>
      <c r="S35" s="49">
        <f>138903.21757032</f>
        <v>138903.21757032</v>
      </c>
      <c r="T35" s="49">
        <f>137161.8355297</f>
        <v>137161.83552970001</v>
      </c>
      <c r="U35" s="50">
        <f>+IF(ISERR(T35/S35*100),"N/A",T35/S35*100)</f>
        <v>98.746334267067354</v>
      </c>
    </row>
    <row r="36" spans="2:21" ht="14.85" customHeight="1" thickTop="1" thickBot="1" x14ac:dyDescent="0.25">
      <c r="B36" s="8" t="s">
        <v>107</v>
      </c>
      <c r="C36" s="9"/>
      <c r="D36" s="9"/>
      <c r="E36" s="9"/>
      <c r="F36" s="9"/>
      <c r="G36" s="9"/>
      <c r="H36" s="10"/>
      <c r="I36" s="10"/>
      <c r="J36" s="10"/>
      <c r="K36" s="10"/>
      <c r="L36" s="10"/>
      <c r="M36" s="10"/>
      <c r="N36" s="10"/>
      <c r="O36" s="10"/>
      <c r="P36" s="10"/>
      <c r="Q36" s="10"/>
      <c r="R36" s="10"/>
      <c r="S36" s="10"/>
      <c r="T36" s="10"/>
      <c r="U36" s="11"/>
    </row>
    <row r="37" spans="2:21" ht="44.25" customHeight="1" thickTop="1" x14ac:dyDescent="0.2">
      <c r="B37" s="69" t="s">
        <v>108</v>
      </c>
      <c r="C37" s="70"/>
      <c r="D37" s="70"/>
      <c r="E37" s="70"/>
      <c r="F37" s="70"/>
      <c r="G37" s="70"/>
      <c r="H37" s="70"/>
      <c r="I37" s="70"/>
      <c r="J37" s="70"/>
      <c r="K37" s="70"/>
      <c r="L37" s="70"/>
      <c r="M37" s="70"/>
      <c r="N37" s="70"/>
      <c r="O37" s="70"/>
      <c r="P37" s="70"/>
      <c r="Q37" s="70"/>
      <c r="R37" s="70"/>
      <c r="S37" s="70"/>
      <c r="T37" s="70"/>
      <c r="U37" s="71"/>
    </row>
    <row r="38" spans="2:21" ht="34.5" customHeight="1" x14ac:dyDescent="0.2">
      <c r="B38" s="59" t="s">
        <v>114</v>
      </c>
      <c r="C38" s="60"/>
      <c r="D38" s="60"/>
      <c r="E38" s="60"/>
      <c r="F38" s="60"/>
      <c r="G38" s="60"/>
      <c r="H38" s="60"/>
      <c r="I38" s="60"/>
      <c r="J38" s="60"/>
      <c r="K38" s="60"/>
      <c r="L38" s="60"/>
      <c r="M38" s="60"/>
      <c r="N38" s="60"/>
      <c r="O38" s="60"/>
      <c r="P38" s="60"/>
      <c r="Q38" s="60"/>
      <c r="R38" s="60"/>
      <c r="S38" s="60"/>
      <c r="T38" s="60"/>
      <c r="U38" s="61"/>
    </row>
    <row r="39" spans="2:21" ht="34.5" customHeight="1" x14ac:dyDescent="0.2">
      <c r="B39" s="59" t="s">
        <v>377</v>
      </c>
      <c r="C39" s="60"/>
      <c r="D39" s="60"/>
      <c r="E39" s="60"/>
      <c r="F39" s="60"/>
      <c r="G39" s="60"/>
      <c r="H39" s="60"/>
      <c r="I39" s="60"/>
      <c r="J39" s="60"/>
      <c r="K39" s="60"/>
      <c r="L39" s="60"/>
      <c r="M39" s="60"/>
      <c r="N39" s="60"/>
      <c r="O39" s="60"/>
      <c r="P39" s="60"/>
      <c r="Q39" s="60"/>
      <c r="R39" s="60"/>
      <c r="S39" s="60"/>
      <c r="T39" s="60"/>
      <c r="U39" s="61"/>
    </row>
    <row r="40" spans="2:21" ht="34.5" customHeight="1" x14ac:dyDescent="0.2">
      <c r="B40" s="59" t="s">
        <v>378</v>
      </c>
      <c r="C40" s="60"/>
      <c r="D40" s="60"/>
      <c r="E40" s="60"/>
      <c r="F40" s="60"/>
      <c r="G40" s="60"/>
      <c r="H40" s="60"/>
      <c r="I40" s="60"/>
      <c r="J40" s="60"/>
      <c r="K40" s="60"/>
      <c r="L40" s="60"/>
      <c r="M40" s="60"/>
      <c r="N40" s="60"/>
      <c r="O40" s="60"/>
      <c r="P40" s="60"/>
      <c r="Q40" s="60"/>
      <c r="R40" s="60"/>
      <c r="S40" s="60"/>
      <c r="T40" s="60"/>
      <c r="U40" s="61"/>
    </row>
    <row r="41" spans="2:21" ht="138.6" customHeight="1" x14ac:dyDescent="0.2">
      <c r="B41" s="59" t="s">
        <v>379</v>
      </c>
      <c r="C41" s="60"/>
      <c r="D41" s="60"/>
      <c r="E41" s="60"/>
      <c r="F41" s="60"/>
      <c r="G41" s="60"/>
      <c r="H41" s="60"/>
      <c r="I41" s="60"/>
      <c r="J41" s="60"/>
      <c r="K41" s="60"/>
      <c r="L41" s="60"/>
      <c r="M41" s="60"/>
      <c r="N41" s="60"/>
      <c r="O41" s="60"/>
      <c r="P41" s="60"/>
      <c r="Q41" s="60"/>
      <c r="R41" s="60"/>
      <c r="S41" s="60"/>
      <c r="T41" s="60"/>
      <c r="U41" s="61"/>
    </row>
    <row r="42" spans="2:21" ht="93.2" customHeight="1" x14ac:dyDescent="0.2">
      <c r="B42" s="59" t="s">
        <v>380</v>
      </c>
      <c r="C42" s="60"/>
      <c r="D42" s="60"/>
      <c r="E42" s="60"/>
      <c r="F42" s="60"/>
      <c r="G42" s="60"/>
      <c r="H42" s="60"/>
      <c r="I42" s="60"/>
      <c r="J42" s="60"/>
      <c r="K42" s="60"/>
      <c r="L42" s="60"/>
      <c r="M42" s="60"/>
      <c r="N42" s="60"/>
      <c r="O42" s="60"/>
      <c r="P42" s="60"/>
      <c r="Q42" s="60"/>
      <c r="R42" s="60"/>
      <c r="S42" s="60"/>
      <c r="T42" s="60"/>
      <c r="U42" s="61"/>
    </row>
    <row r="43" spans="2:21" ht="70.349999999999994" customHeight="1" x14ac:dyDescent="0.2">
      <c r="B43" s="59" t="s">
        <v>381</v>
      </c>
      <c r="C43" s="60"/>
      <c r="D43" s="60"/>
      <c r="E43" s="60"/>
      <c r="F43" s="60"/>
      <c r="G43" s="60"/>
      <c r="H43" s="60"/>
      <c r="I43" s="60"/>
      <c r="J43" s="60"/>
      <c r="K43" s="60"/>
      <c r="L43" s="60"/>
      <c r="M43" s="60"/>
      <c r="N43" s="60"/>
      <c r="O43" s="60"/>
      <c r="P43" s="60"/>
      <c r="Q43" s="60"/>
      <c r="R43" s="60"/>
      <c r="S43" s="60"/>
      <c r="T43" s="60"/>
      <c r="U43" s="61"/>
    </row>
    <row r="44" spans="2:21" ht="68.849999999999994" customHeight="1" x14ac:dyDescent="0.2">
      <c r="B44" s="59" t="s">
        <v>382</v>
      </c>
      <c r="C44" s="60"/>
      <c r="D44" s="60"/>
      <c r="E44" s="60"/>
      <c r="F44" s="60"/>
      <c r="G44" s="60"/>
      <c r="H44" s="60"/>
      <c r="I44" s="60"/>
      <c r="J44" s="60"/>
      <c r="K44" s="60"/>
      <c r="L44" s="60"/>
      <c r="M44" s="60"/>
      <c r="N44" s="60"/>
      <c r="O44" s="60"/>
      <c r="P44" s="60"/>
      <c r="Q44" s="60"/>
      <c r="R44" s="60"/>
      <c r="S44" s="60"/>
      <c r="T44" s="60"/>
      <c r="U44" s="61"/>
    </row>
    <row r="45" spans="2:21" ht="73.7" customHeight="1" x14ac:dyDescent="0.2">
      <c r="B45" s="59" t="s">
        <v>383</v>
      </c>
      <c r="C45" s="60"/>
      <c r="D45" s="60"/>
      <c r="E45" s="60"/>
      <c r="F45" s="60"/>
      <c r="G45" s="60"/>
      <c r="H45" s="60"/>
      <c r="I45" s="60"/>
      <c r="J45" s="60"/>
      <c r="K45" s="60"/>
      <c r="L45" s="60"/>
      <c r="M45" s="60"/>
      <c r="N45" s="60"/>
      <c r="O45" s="60"/>
      <c r="P45" s="60"/>
      <c r="Q45" s="60"/>
      <c r="R45" s="60"/>
      <c r="S45" s="60"/>
      <c r="T45" s="60"/>
      <c r="U45" s="61"/>
    </row>
    <row r="46" spans="2:21" ht="106.7" customHeight="1" x14ac:dyDescent="0.2">
      <c r="B46" s="59" t="s">
        <v>384</v>
      </c>
      <c r="C46" s="60"/>
      <c r="D46" s="60"/>
      <c r="E46" s="60"/>
      <c r="F46" s="60"/>
      <c r="G46" s="60"/>
      <c r="H46" s="60"/>
      <c r="I46" s="60"/>
      <c r="J46" s="60"/>
      <c r="K46" s="60"/>
      <c r="L46" s="60"/>
      <c r="M46" s="60"/>
      <c r="N46" s="60"/>
      <c r="O46" s="60"/>
      <c r="P46" s="60"/>
      <c r="Q46" s="60"/>
      <c r="R46" s="60"/>
      <c r="S46" s="60"/>
      <c r="T46" s="60"/>
      <c r="U46" s="61"/>
    </row>
    <row r="47" spans="2:21" ht="68.849999999999994" customHeight="1" x14ac:dyDescent="0.2">
      <c r="B47" s="59" t="s">
        <v>385</v>
      </c>
      <c r="C47" s="60"/>
      <c r="D47" s="60"/>
      <c r="E47" s="60"/>
      <c r="F47" s="60"/>
      <c r="G47" s="60"/>
      <c r="H47" s="60"/>
      <c r="I47" s="60"/>
      <c r="J47" s="60"/>
      <c r="K47" s="60"/>
      <c r="L47" s="60"/>
      <c r="M47" s="60"/>
      <c r="N47" s="60"/>
      <c r="O47" s="60"/>
      <c r="P47" s="60"/>
      <c r="Q47" s="60"/>
      <c r="R47" s="60"/>
      <c r="S47" s="60"/>
      <c r="T47" s="60"/>
      <c r="U47" s="61"/>
    </row>
    <row r="48" spans="2:21" ht="69.2" customHeight="1" x14ac:dyDescent="0.2">
      <c r="B48" s="59" t="s">
        <v>386</v>
      </c>
      <c r="C48" s="60"/>
      <c r="D48" s="60"/>
      <c r="E48" s="60"/>
      <c r="F48" s="60"/>
      <c r="G48" s="60"/>
      <c r="H48" s="60"/>
      <c r="I48" s="60"/>
      <c r="J48" s="60"/>
      <c r="K48" s="60"/>
      <c r="L48" s="60"/>
      <c r="M48" s="60"/>
      <c r="N48" s="60"/>
      <c r="O48" s="60"/>
      <c r="P48" s="60"/>
      <c r="Q48" s="60"/>
      <c r="R48" s="60"/>
      <c r="S48" s="60"/>
      <c r="T48" s="60"/>
      <c r="U48" s="61"/>
    </row>
    <row r="49" spans="2:21" ht="53.1" customHeight="1" x14ac:dyDescent="0.2">
      <c r="B49" s="59" t="s">
        <v>387</v>
      </c>
      <c r="C49" s="60"/>
      <c r="D49" s="60"/>
      <c r="E49" s="60"/>
      <c r="F49" s="60"/>
      <c r="G49" s="60"/>
      <c r="H49" s="60"/>
      <c r="I49" s="60"/>
      <c r="J49" s="60"/>
      <c r="K49" s="60"/>
      <c r="L49" s="60"/>
      <c r="M49" s="60"/>
      <c r="N49" s="60"/>
      <c r="O49" s="60"/>
      <c r="P49" s="60"/>
      <c r="Q49" s="60"/>
      <c r="R49" s="60"/>
      <c r="S49" s="60"/>
      <c r="T49" s="60"/>
      <c r="U49" s="61"/>
    </row>
    <row r="50" spans="2:21" ht="58.5" customHeight="1" x14ac:dyDescent="0.2">
      <c r="B50" s="59" t="s">
        <v>388</v>
      </c>
      <c r="C50" s="60"/>
      <c r="D50" s="60"/>
      <c r="E50" s="60"/>
      <c r="F50" s="60"/>
      <c r="G50" s="60"/>
      <c r="H50" s="60"/>
      <c r="I50" s="60"/>
      <c r="J50" s="60"/>
      <c r="K50" s="60"/>
      <c r="L50" s="60"/>
      <c r="M50" s="60"/>
      <c r="N50" s="60"/>
      <c r="O50" s="60"/>
      <c r="P50" s="60"/>
      <c r="Q50" s="60"/>
      <c r="R50" s="60"/>
      <c r="S50" s="60"/>
      <c r="T50" s="60"/>
      <c r="U50" s="61"/>
    </row>
    <row r="51" spans="2:21" ht="77.25" customHeight="1" x14ac:dyDescent="0.2">
      <c r="B51" s="59" t="s">
        <v>389</v>
      </c>
      <c r="C51" s="60"/>
      <c r="D51" s="60"/>
      <c r="E51" s="60"/>
      <c r="F51" s="60"/>
      <c r="G51" s="60"/>
      <c r="H51" s="60"/>
      <c r="I51" s="60"/>
      <c r="J51" s="60"/>
      <c r="K51" s="60"/>
      <c r="L51" s="60"/>
      <c r="M51" s="60"/>
      <c r="N51" s="60"/>
      <c r="O51" s="60"/>
      <c r="P51" s="60"/>
      <c r="Q51" s="60"/>
      <c r="R51" s="60"/>
      <c r="S51" s="60"/>
      <c r="T51" s="60"/>
      <c r="U51" s="61"/>
    </row>
    <row r="52" spans="2:21" ht="47.25" customHeight="1" x14ac:dyDescent="0.2">
      <c r="B52" s="59" t="s">
        <v>390</v>
      </c>
      <c r="C52" s="60"/>
      <c r="D52" s="60"/>
      <c r="E52" s="60"/>
      <c r="F52" s="60"/>
      <c r="G52" s="60"/>
      <c r="H52" s="60"/>
      <c r="I52" s="60"/>
      <c r="J52" s="60"/>
      <c r="K52" s="60"/>
      <c r="L52" s="60"/>
      <c r="M52" s="60"/>
      <c r="N52" s="60"/>
      <c r="O52" s="60"/>
      <c r="P52" s="60"/>
      <c r="Q52" s="60"/>
      <c r="R52" s="60"/>
      <c r="S52" s="60"/>
      <c r="T52" s="60"/>
      <c r="U52" s="61"/>
    </row>
    <row r="53" spans="2:21" ht="48" customHeight="1" x14ac:dyDescent="0.2">
      <c r="B53" s="59" t="s">
        <v>391</v>
      </c>
      <c r="C53" s="60"/>
      <c r="D53" s="60"/>
      <c r="E53" s="60"/>
      <c r="F53" s="60"/>
      <c r="G53" s="60"/>
      <c r="H53" s="60"/>
      <c r="I53" s="60"/>
      <c r="J53" s="60"/>
      <c r="K53" s="60"/>
      <c r="L53" s="60"/>
      <c r="M53" s="60"/>
      <c r="N53" s="60"/>
      <c r="O53" s="60"/>
      <c r="P53" s="60"/>
      <c r="Q53" s="60"/>
      <c r="R53" s="60"/>
      <c r="S53" s="60"/>
      <c r="T53" s="60"/>
      <c r="U53" s="61"/>
    </row>
    <row r="54" spans="2:21" ht="224.85" customHeight="1" x14ac:dyDescent="0.2">
      <c r="B54" s="59" t="s">
        <v>392</v>
      </c>
      <c r="C54" s="60"/>
      <c r="D54" s="60"/>
      <c r="E54" s="60"/>
      <c r="F54" s="60"/>
      <c r="G54" s="60"/>
      <c r="H54" s="60"/>
      <c r="I54" s="60"/>
      <c r="J54" s="60"/>
      <c r="K54" s="60"/>
      <c r="L54" s="60"/>
      <c r="M54" s="60"/>
      <c r="N54" s="60"/>
      <c r="O54" s="60"/>
      <c r="P54" s="60"/>
      <c r="Q54" s="60"/>
      <c r="R54" s="60"/>
      <c r="S54" s="60"/>
      <c r="T54" s="60"/>
      <c r="U54" s="61"/>
    </row>
    <row r="55" spans="2:21" ht="63.6" customHeight="1" x14ac:dyDescent="0.2">
      <c r="B55" s="59" t="s">
        <v>393</v>
      </c>
      <c r="C55" s="60"/>
      <c r="D55" s="60"/>
      <c r="E55" s="60"/>
      <c r="F55" s="60"/>
      <c r="G55" s="60"/>
      <c r="H55" s="60"/>
      <c r="I55" s="60"/>
      <c r="J55" s="60"/>
      <c r="K55" s="60"/>
      <c r="L55" s="60"/>
      <c r="M55" s="60"/>
      <c r="N55" s="60"/>
      <c r="O55" s="60"/>
      <c r="P55" s="60"/>
      <c r="Q55" s="60"/>
      <c r="R55" s="60"/>
      <c r="S55" s="60"/>
      <c r="T55" s="60"/>
      <c r="U55" s="61"/>
    </row>
    <row r="56" spans="2:21" ht="52.7" customHeight="1" x14ac:dyDescent="0.2">
      <c r="B56" s="59" t="s">
        <v>394</v>
      </c>
      <c r="C56" s="60"/>
      <c r="D56" s="60"/>
      <c r="E56" s="60"/>
      <c r="F56" s="60"/>
      <c r="G56" s="60"/>
      <c r="H56" s="60"/>
      <c r="I56" s="60"/>
      <c r="J56" s="60"/>
      <c r="K56" s="60"/>
      <c r="L56" s="60"/>
      <c r="M56" s="60"/>
      <c r="N56" s="60"/>
      <c r="O56" s="60"/>
      <c r="P56" s="60"/>
      <c r="Q56" s="60"/>
      <c r="R56" s="60"/>
      <c r="S56" s="60"/>
      <c r="T56" s="60"/>
      <c r="U56" s="61"/>
    </row>
    <row r="57" spans="2:21" ht="66.75" customHeight="1" thickBot="1" x14ac:dyDescent="0.25">
      <c r="B57" s="62" t="s">
        <v>395</v>
      </c>
      <c r="C57" s="63"/>
      <c r="D57" s="63"/>
      <c r="E57" s="63"/>
      <c r="F57" s="63"/>
      <c r="G57" s="63"/>
      <c r="H57" s="63"/>
      <c r="I57" s="63"/>
      <c r="J57" s="63"/>
      <c r="K57" s="63"/>
      <c r="L57" s="63"/>
      <c r="M57" s="63"/>
      <c r="N57" s="63"/>
      <c r="O57" s="63"/>
      <c r="P57" s="63"/>
      <c r="Q57" s="63"/>
      <c r="R57" s="63"/>
      <c r="S57" s="63"/>
      <c r="T57" s="63"/>
      <c r="U57" s="64"/>
    </row>
  </sheetData>
  <mergeCells count="104">
    <mergeCell ref="B8:B10"/>
    <mergeCell ref="C8:H10"/>
    <mergeCell ref="I8:S8"/>
    <mergeCell ref="T8:U8"/>
    <mergeCell ref="I9:K10"/>
    <mergeCell ref="L9:O10"/>
    <mergeCell ref="B1:L1"/>
    <mergeCell ref="D4:H4"/>
    <mergeCell ref="L4:O4"/>
    <mergeCell ref="Q4:R4"/>
    <mergeCell ref="T4:U4"/>
    <mergeCell ref="B5:U5"/>
    <mergeCell ref="T9:T10"/>
    <mergeCell ref="U9:U10"/>
    <mergeCell ref="C11:H11"/>
    <mergeCell ref="I11:K11"/>
    <mergeCell ref="L11:O11"/>
    <mergeCell ref="C6:G6"/>
    <mergeCell ref="K6:M6"/>
    <mergeCell ref="P6:Q6"/>
    <mergeCell ref="T6:U6"/>
    <mergeCell ref="C12:H12"/>
    <mergeCell ref="I12:K12"/>
    <mergeCell ref="L12:O12"/>
    <mergeCell ref="C13:H13"/>
    <mergeCell ref="I13:K13"/>
    <mergeCell ref="L13:O13"/>
    <mergeCell ref="P9:P10"/>
    <mergeCell ref="Q9:Q10"/>
    <mergeCell ref="R9:S9"/>
    <mergeCell ref="C16:H16"/>
    <mergeCell ref="I16:K16"/>
    <mergeCell ref="L16:O16"/>
    <mergeCell ref="C17:H17"/>
    <mergeCell ref="I17:K17"/>
    <mergeCell ref="L17:O17"/>
    <mergeCell ref="C14:H14"/>
    <mergeCell ref="I14:K14"/>
    <mergeCell ref="L14:O14"/>
    <mergeCell ref="C15:H15"/>
    <mergeCell ref="I15:K15"/>
    <mergeCell ref="L15:O15"/>
    <mergeCell ref="C20:H20"/>
    <mergeCell ref="I20:K20"/>
    <mergeCell ref="L20:O20"/>
    <mergeCell ref="C21:H21"/>
    <mergeCell ref="I21:K21"/>
    <mergeCell ref="L21:O21"/>
    <mergeCell ref="C18:H18"/>
    <mergeCell ref="I18:K18"/>
    <mergeCell ref="L18:O18"/>
    <mergeCell ref="C19:H19"/>
    <mergeCell ref="I19:K19"/>
    <mergeCell ref="L19:O19"/>
    <mergeCell ref="C24:H24"/>
    <mergeCell ref="I24:K24"/>
    <mergeCell ref="L24:O24"/>
    <mergeCell ref="C25:H25"/>
    <mergeCell ref="I25:K25"/>
    <mergeCell ref="L25:O25"/>
    <mergeCell ref="C22:H22"/>
    <mergeCell ref="I22:K22"/>
    <mergeCell ref="L22:O22"/>
    <mergeCell ref="C23:H23"/>
    <mergeCell ref="I23:K23"/>
    <mergeCell ref="L23:O23"/>
    <mergeCell ref="C28:H28"/>
    <mergeCell ref="I28:K28"/>
    <mergeCell ref="L28:O28"/>
    <mergeCell ref="C29:H29"/>
    <mergeCell ref="I29:K29"/>
    <mergeCell ref="L29:O29"/>
    <mergeCell ref="C26:H26"/>
    <mergeCell ref="I26:K26"/>
    <mergeCell ref="L26:O26"/>
    <mergeCell ref="C27:H27"/>
    <mergeCell ref="I27:K27"/>
    <mergeCell ref="L27:O27"/>
    <mergeCell ref="B38:U38"/>
    <mergeCell ref="B39:U39"/>
    <mergeCell ref="B40:U40"/>
    <mergeCell ref="B41:U41"/>
    <mergeCell ref="B42:U42"/>
    <mergeCell ref="B43:U43"/>
    <mergeCell ref="C30:H30"/>
    <mergeCell ref="I30:K30"/>
    <mergeCell ref="L30:O30"/>
    <mergeCell ref="B34:D34"/>
    <mergeCell ref="B35:D35"/>
    <mergeCell ref="B37:U37"/>
    <mergeCell ref="B56:U56"/>
    <mergeCell ref="B57:U57"/>
    <mergeCell ref="B50:U50"/>
    <mergeCell ref="B51:U51"/>
    <mergeCell ref="B52:U52"/>
    <mergeCell ref="B53:U53"/>
    <mergeCell ref="B54:U54"/>
    <mergeCell ref="B55:U55"/>
    <mergeCell ref="B44:U44"/>
    <mergeCell ref="B45:U45"/>
    <mergeCell ref="B46:U46"/>
    <mergeCell ref="B47:U47"/>
    <mergeCell ref="B48:U48"/>
    <mergeCell ref="B49:U49"/>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9"/>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584</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396</v>
      </c>
      <c r="D4" s="99" t="s">
        <v>397</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273</v>
      </c>
      <c r="L6" s="80"/>
      <c r="M6" s="80"/>
      <c r="N6" s="19"/>
      <c r="O6" s="20" t="s">
        <v>20</v>
      </c>
      <c r="P6" s="80" t="s">
        <v>398</v>
      </c>
      <c r="Q6" s="80"/>
      <c r="R6" s="21"/>
      <c r="S6" s="20" t="s">
        <v>22</v>
      </c>
      <c r="T6" s="80" t="s">
        <v>399</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400</v>
      </c>
      <c r="D11" s="73"/>
      <c r="E11" s="73"/>
      <c r="F11" s="73"/>
      <c r="G11" s="73"/>
      <c r="H11" s="73"/>
      <c r="I11" s="73" t="s">
        <v>46</v>
      </c>
      <c r="J11" s="73"/>
      <c r="K11" s="73"/>
      <c r="L11" s="73" t="s">
        <v>47</v>
      </c>
      <c r="M11" s="73"/>
      <c r="N11" s="73"/>
      <c r="O11" s="73"/>
      <c r="P11" s="27" t="s">
        <v>48</v>
      </c>
      <c r="Q11" s="27" t="s">
        <v>49</v>
      </c>
      <c r="R11" s="54">
        <v>12</v>
      </c>
      <c r="S11" s="54" t="s">
        <v>44</v>
      </c>
      <c r="T11" s="54" t="s">
        <v>44</v>
      </c>
      <c r="U11" s="28" t="str">
        <f>IF(ISERR((S11-T11)*100/S11+100),"N/A",(S11-T11)*100/S11+100)</f>
        <v>N/A</v>
      </c>
    </row>
    <row r="12" spans="1:34" ht="75" customHeight="1" thickBot="1" x14ac:dyDescent="0.25">
      <c r="A12" s="25"/>
      <c r="B12" s="29" t="s">
        <v>45</v>
      </c>
      <c r="C12" s="72" t="s">
        <v>45</v>
      </c>
      <c r="D12" s="72"/>
      <c r="E12" s="72"/>
      <c r="F12" s="72"/>
      <c r="G12" s="72"/>
      <c r="H12" s="72"/>
      <c r="I12" s="72" t="s">
        <v>401</v>
      </c>
      <c r="J12" s="72"/>
      <c r="K12" s="72"/>
      <c r="L12" s="72" t="s">
        <v>402</v>
      </c>
      <c r="M12" s="72"/>
      <c r="N12" s="72"/>
      <c r="O12" s="72"/>
      <c r="P12" s="30" t="s">
        <v>403</v>
      </c>
      <c r="Q12" s="30" t="s">
        <v>49</v>
      </c>
      <c r="R12" s="30">
        <v>30.16</v>
      </c>
      <c r="S12" s="30" t="s">
        <v>44</v>
      </c>
      <c r="T12" s="30" t="s">
        <v>44</v>
      </c>
      <c r="U12" s="32" t="str">
        <f>IF(ISERR((S12-T12)*100/S12+100),"N/A",(S12-T12)*100/S12+100)</f>
        <v>N/A</v>
      </c>
    </row>
    <row r="13" spans="1:34" ht="75" customHeight="1" thickTop="1" x14ac:dyDescent="0.2">
      <c r="A13" s="25"/>
      <c r="B13" s="26" t="s">
        <v>62</v>
      </c>
      <c r="C13" s="73" t="s">
        <v>404</v>
      </c>
      <c r="D13" s="73"/>
      <c r="E13" s="73"/>
      <c r="F13" s="73"/>
      <c r="G13" s="73"/>
      <c r="H13" s="73"/>
      <c r="I13" s="73" t="s">
        <v>405</v>
      </c>
      <c r="J13" s="73"/>
      <c r="K13" s="73"/>
      <c r="L13" s="73" t="s">
        <v>406</v>
      </c>
      <c r="M13" s="73"/>
      <c r="N13" s="73"/>
      <c r="O13" s="73"/>
      <c r="P13" s="27" t="s">
        <v>407</v>
      </c>
      <c r="Q13" s="27" t="s">
        <v>408</v>
      </c>
      <c r="R13" s="27">
        <v>5.42</v>
      </c>
      <c r="S13" s="27" t="s">
        <v>44</v>
      </c>
      <c r="T13" s="27" t="s">
        <v>44</v>
      </c>
      <c r="U13" s="28" t="str">
        <f t="shared" ref="U13:U26" si="0">IF(ISERR(T13/S13*100),"N/A",T13/S13*100)</f>
        <v>N/A</v>
      </c>
    </row>
    <row r="14" spans="1:34" ht="75" customHeight="1" thickBot="1" x14ac:dyDescent="0.25">
      <c r="A14" s="25"/>
      <c r="B14" s="29" t="s">
        <v>45</v>
      </c>
      <c r="C14" s="72" t="s">
        <v>45</v>
      </c>
      <c r="D14" s="72"/>
      <c r="E14" s="72"/>
      <c r="F14" s="72"/>
      <c r="G14" s="72"/>
      <c r="H14" s="72"/>
      <c r="I14" s="72" t="s">
        <v>409</v>
      </c>
      <c r="J14" s="72"/>
      <c r="K14" s="72"/>
      <c r="L14" s="72" t="s">
        <v>410</v>
      </c>
      <c r="M14" s="72"/>
      <c r="N14" s="72"/>
      <c r="O14" s="72"/>
      <c r="P14" s="30" t="s">
        <v>411</v>
      </c>
      <c r="Q14" s="30" t="s">
        <v>412</v>
      </c>
      <c r="R14" s="30">
        <v>93.37</v>
      </c>
      <c r="S14" s="30" t="s">
        <v>44</v>
      </c>
      <c r="T14" s="30" t="s">
        <v>44</v>
      </c>
      <c r="U14" s="32" t="str">
        <f t="shared" si="0"/>
        <v>N/A</v>
      </c>
    </row>
    <row r="15" spans="1:34" ht="75" customHeight="1" thickTop="1" x14ac:dyDescent="0.2">
      <c r="A15" s="25"/>
      <c r="B15" s="26" t="s">
        <v>71</v>
      </c>
      <c r="C15" s="73" t="s">
        <v>413</v>
      </c>
      <c r="D15" s="73"/>
      <c r="E15" s="73"/>
      <c r="F15" s="73"/>
      <c r="G15" s="73"/>
      <c r="H15" s="73"/>
      <c r="I15" s="73" t="s">
        <v>414</v>
      </c>
      <c r="J15" s="73"/>
      <c r="K15" s="73"/>
      <c r="L15" s="73" t="s">
        <v>415</v>
      </c>
      <c r="M15" s="73"/>
      <c r="N15" s="73"/>
      <c r="O15" s="73"/>
      <c r="P15" s="27" t="s">
        <v>48</v>
      </c>
      <c r="Q15" s="27" t="s">
        <v>139</v>
      </c>
      <c r="R15" s="27">
        <v>101</v>
      </c>
      <c r="S15" s="27">
        <v>101</v>
      </c>
      <c r="T15" s="27">
        <v>-8.73</v>
      </c>
      <c r="U15" s="28">
        <f t="shared" si="0"/>
        <v>-8.643564356435645</v>
      </c>
    </row>
    <row r="16" spans="1:34" ht="75" customHeight="1" x14ac:dyDescent="0.2">
      <c r="A16" s="25"/>
      <c r="B16" s="29" t="s">
        <v>45</v>
      </c>
      <c r="C16" s="72" t="s">
        <v>416</v>
      </c>
      <c r="D16" s="72"/>
      <c r="E16" s="72"/>
      <c r="F16" s="72"/>
      <c r="G16" s="72"/>
      <c r="H16" s="72"/>
      <c r="I16" s="72" t="s">
        <v>417</v>
      </c>
      <c r="J16" s="72"/>
      <c r="K16" s="72"/>
      <c r="L16" s="72" t="s">
        <v>418</v>
      </c>
      <c r="M16" s="72"/>
      <c r="N16" s="72"/>
      <c r="O16" s="72"/>
      <c r="P16" s="30" t="s">
        <v>419</v>
      </c>
      <c r="Q16" s="30" t="s">
        <v>139</v>
      </c>
      <c r="R16" s="30">
        <v>4</v>
      </c>
      <c r="S16" s="30">
        <v>4</v>
      </c>
      <c r="T16" s="30">
        <v>-3.27</v>
      </c>
      <c r="U16" s="32">
        <f t="shared" si="0"/>
        <v>-81.75</v>
      </c>
    </row>
    <row r="17" spans="1:22" ht="75" customHeight="1" thickBot="1" x14ac:dyDescent="0.25">
      <c r="A17" s="25"/>
      <c r="B17" s="29" t="s">
        <v>45</v>
      </c>
      <c r="C17" s="72" t="s">
        <v>420</v>
      </c>
      <c r="D17" s="72"/>
      <c r="E17" s="72"/>
      <c r="F17" s="72"/>
      <c r="G17" s="72"/>
      <c r="H17" s="72"/>
      <c r="I17" s="72" t="s">
        <v>421</v>
      </c>
      <c r="J17" s="72"/>
      <c r="K17" s="72"/>
      <c r="L17" s="72" t="s">
        <v>422</v>
      </c>
      <c r="M17" s="72"/>
      <c r="N17" s="72"/>
      <c r="O17" s="72"/>
      <c r="P17" s="30" t="s">
        <v>48</v>
      </c>
      <c r="Q17" s="30" t="s">
        <v>139</v>
      </c>
      <c r="R17" s="30">
        <v>3.51</v>
      </c>
      <c r="S17" s="30">
        <v>4</v>
      </c>
      <c r="T17" s="30">
        <v>-19.12</v>
      </c>
      <c r="U17" s="32">
        <f t="shared" si="0"/>
        <v>-478</v>
      </c>
    </row>
    <row r="18" spans="1:22" ht="75" customHeight="1" thickTop="1" x14ac:dyDescent="0.2">
      <c r="A18" s="25"/>
      <c r="B18" s="26" t="s">
        <v>87</v>
      </c>
      <c r="C18" s="73" t="s">
        <v>423</v>
      </c>
      <c r="D18" s="73"/>
      <c r="E18" s="73"/>
      <c r="F18" s="73"/>
      <c r="G18" s="73"/>
      <c r="H18" s="73"/>
      <c r="I18" s="73" t="s">
        <v>424</v>
      </c>
      <c r="J18" s="73"/>
      <c r="K18" s="73"/>
      <c r="L18" s="73" t="s">
        <v>425</v>
      </c>
      <c r="M18" s="73"/>
      <c r="N18" s="73"/>
      <c r="O18" s="73"/>
      <c r="P18" s="27" t="s">
        <v>48</v>
      </c>
      <c r="Q18" s="27" t="s">
        <v>91</v>
      </c>
      <c r="R18" s="27">
        <v>100</v>
      </c>
      <c r="S18" s="27">
        <v>89</v>
      </c>
      <c r="T18" s="27">
        <v>79.209999999999994</v>
      </c>
      <c r="U18" s="28">
        <f t="shared" si="0"/>
        <v>88.999999999999986</v>
      </c>
    </row>
    <row r="19" spans="1:22" ht="75" customHeight="1" x14ac:dyDescent="0.2">
      <c r="A19" s="25"/>
      <c r="B19" s="29" t="s">
        <v>45</v>
      </c>
      <c r="C19" s="72" t="s">
        <v>426</v>
      </c>
      <c r="D19" s="72"/>
      <c r="E19" s="72"/>
      <c r="F19" s="72"/>
      <c r="G19" s="72"/>
      <c r="H19" s="72"/>
      <c r="I19" s="72" t="s">
        <v>427</v>
      </c>
      <c r="J19" s="72"/>
      <c r="K19" s="72"/>
      <c r="L19" s="72" t="s">
        <v>428</v>
      </c>
      <c r="M19" s="72"/>
      <c r="N19" s="72"/>
      <c r="O19" s="72"/>
      <c r="P19" s="30" t="s">
        <v>48</v>
      </c>
      <c r="Q19" s="30" t="s">
        <v>91</v>
      </c>
      <c r="R19" s="30">
        <v>100</v>
      </c>
      <c r="S19" s="30">
        <v>85</v>
      </c>
      <c r="T19" s="30">
        <v>79.73</v>
      </c>
      <c r="U19" s="32">
        <f t="shared" si="0"/>
        <v>93.800000000000011</v>
      </c>
    </row>
    <row r="20" spans="1:22" ht="75" customHeight="1" x14ac:dyDescent="0.2">
      <c r="A20" s="25"/>
      <c r="B20" s="29" t="s">
        <v>45</v>
      </c>
      <c r="C20" s="72" t="s">
        <v>429</v>
      </c>
      <c r="D20" s="72"/>
      <c r="E20" s="72"/>
      <c r="F20" s="72"/>
      <c r="G20" s="72"/>
      <c r="H20" s="72"/>
      <c r="I20" s="72" t="s">
        <v>430</v>
      </c>
      <c r="J20" s="72"/>
      <c r="K20" s="72"/>
      <c r="L20" s="72" t="s">
        <v>431</v>
      </c>
      <c r="M20" s="72"/>
      <c r="N20" s="72"/>
      <c r="O20" s="72"/>
      <c r="P20" s="30" t="s">
        <v>48</v>
      </c>
      <c r="Q20" s="30" t="s">
        <v>91</v>
      </c>
      <c r="R20" s="30">
        <v>100</v>
      </c>
      <c r="S20" s="30">
        <v>89</v>
      </c>
      <c r="T20" s="30">
        <v>80.13</v>
      </c>
      <c r="U20" s="32">
        <f t="shared" si="0"/>
        <v>90.033707865168537</v>
      </c>
    </row>
    <row r="21" spans="1:22" ht="75" customHeight="1" x14ac:dyDescent="0.2">
      <c r="A21" s="25"/>
      <c r="B21" s="29" t="s">
        <v>45</v>
      </c>
      <c r="C21" s="72" t="s">
        <v>432</v>
      </c>
      <c r="D21" s="72"/>
      <c r="E21" s="72"/>
      <c r="F21" s="72"/>
      <c r="G21" s="72"/>
      <c r="H21" s="72"/>
      <c r="I21" s="72" t="s">
        <v>433</v>
      </c>
      <c r="J21" s="72"/>
      <c r="K21" s="72"/>
      <c r="L21" s="72" t="s">
        <v>434</v>
      </c>
      <c r="M21" s="72"/>
      <c r="N21" s="72"/>
      <c r="O21" s="72"/>
      <c r="P21" s="30" t="s">
        <v>48</v>
      </c>
      <c r="Q21" s="30" t="s">
        <v>91</v>
      </c>
      <c r="R21" s="30">
        <v>100</v>
      </c>
      <c r="S21" s="30">
        <v>87</v>
      </c>
      <c r="T21" s="30">
        <v>78.650000000000006</v>
      </c>
      <c r="U21" s="32">
        <f t="shared" si="0"/>
        <v>90.402298850574709</v>
      </c>
    </row>
    <row r="22" spans="1:22" ht="75" customHeight="1" x14ac:dyDescent="0.2">
      <c r="A22" s="25"/>
      <c r="B22" s="29" t="s">
        <v>45</v>
      </c>
      <c r="C22" s="72" t="s">
        <v>435</v>
      </c>
      <c r="D22" s="72"/>
      <c r="E22" s="72"/>
      <c r="F22" s="72"/>
      <c r="G22" s="72"/>
      <c r="H22" s="72"/>
      <c r="I22" s="72" t="s">
        <v>436</v>
      </c>
      <c r="J22" s="72"/>
      <c r="K22" s="72"/>
      <c r="L22" s="72" t="s">
        <v>437</v>
      </c>
      <c r="M22" s="72"/>
      <c r="N22" s="72"/>
      <c r="O22" s="72"/>
      <c r="P22" s="30" t="s">
        <v>48</v>
      </c>
      <c r="Q22" s="30" t="s">
        <v>91</v>
      </c>
      <c r="R22" s="30">
        <v>100</v>
      </c>
      <c r="S22" s="30">
        <v>85</v>
      </c>
      <c r="T22" s="30">
        <v>72.099999999999994</v>
      </c>
      <c r="U22" s="32">
        <f t="shared" si="0"/>
        <v>84.823529411764696</v>
      </c>
    </row>
    <row r="23" spans="1:22" ht="75" customHeight="1" x14ac:dyDescent="0.2">
      <c r="A23" s="25"/>
      <c r="B23" s="29" t="s">
        <v>45</v>
      </c>
      <c r="C23" s="72" t="s">
        <v>438</v>
      </c>
      <c r="D23" s="72"/>
      <c r="E23" s="72"/>
      <c r="F23" s="72"/>
      <c r="G23" s="72"/>
      <c r="H23" s="72"/>
      <c r="I23" s="72" t="s">
        <v>439</v>
      </c>
      <c r="J23" s="72"/>
      <c r="K23" s="72"/>
      <c r="L23" s="72" t="s">
        <v>440</v>
      </c>
      <c r="M23" s="72"/>
      <c r="N23" s="72"/>
      <c r="O23" s="72"/>
      <c r="P23" s="30" t="s">
        <v>441</v>
      </c>
      <c r="Q23" s="30" t="s">
        <v>442</v>
      </c>
      <c r="R23" s="30">
        <v>100</v>
      </c>
      <c r="S23" s="30">
        <v>66.67</v>
      </c>
      <c r="T23" s="30">
        <v>64.709999999999994</v>
      </c>
      <c r="U23" s="32">
        <f t="shared" si="0"/>
        <v>97.06014699265036</v>
      </c>
    </row>
    <row r="24" spans="1:22" ht="75" customHeight="1" x14ac:dyDescent="0.2">
      <c r="A24" s="25"/>
      <c r="B24" s="29" t="s">
        <v>45</v>
      </c>
      <c r="C24" s="72" t="s">
        <v>443</v>
      </c>
      <c r="D24" s="72"/>
      <c r="E24" s="72"/>
      <c r="F24" s="72"/>
      <c r="G24" s="72"/>
      <c r="H24" s="72"/>
      <c r="I24" s="72" t="s">
        <v>444</v>
      </c>
      <c r="J24" s="72"/>
      <c r="K24" s="72"/>
      <c r="L24" s="72" t="s">
        <v>445</v>
      </c>
      <c r="M24" s="72"/>
      <c r="N24" s="72"/>
      <c r="O24" s="72"/>
      <c r="P24" s="30" t="s">
        <v>407</v>
      </c>
      <c r="Q24" s="30" t="s">
        <v>91</v>
      </c>
      <c r="R24" s="30">
        <v>5</v>
      </c>
      <c r="S24" s="30">
        <v>4.41</v>
      </c>
      <c r="T24" s="30">
        <v>75.17</v>
      </c>
      <c r="U24" s="32">
        <f t="shared" si="0"/>
        <v>1704.5351473922904</v>
      </c>
    </row>
    <row r="25" spans="1:22" ht="75" customHeight="1" x14ac:dyDescent="0.2">
      <c r="A25" s="25"/>
      <c r="B25" s="29" t="s">
        <v>45</v>
      </c>
      <c r="C25" s="72" t="s">
        <v>446</v>
      </c>
      <c r="D25" s="72"/>
      <c r="E25" s="72"/>
      <c r="F25" s="72"/>
      <c r="G25" s="72"/>
      <c r="H25" s="72"/>
      <c r="I25" s="72" t="s">
        <v>447</v>
      </c>
      <c r="J25" s="72"/>
      <c r="K25" s="72"/>
      <c r="L25" s="72" t="s">
        <v>448</v>
      </c>
      <c r="M25" s="72"/>
      <c r="N25" s="72"/>
      <c r="O25" s="72"/>
      <c r="P25" s="30" t="s">
        <v>48</v>
      </c>
      <c r="Q25" s="30" t="s">
        <v>91</v>
      </c>
      <c r="R25" s="30">
        <v>22.22</v>
      </c>
      <c r="S25" s="30">
        <v>14.95</v>
      </c>
      <c r="T25" s="30">
        <v>16.18</v>
      </c>
      <c r="U25" s="32">
        <f t="shared" si="0"/>
        <v>108.22742474916389</v>
      </c>
    </row>
    <row r="26" spans="1:22" ht="75" customHeight="1" thickBot="1" x14ac:dyDescent="0.25">
      <c r="A26" s="25"/>
      <c r="B26" s="29" t="s">
        <v>45</v>
      </c>
      <c r="C26" s="72" t="s">
        <v>45</v>
      </c>
      <c r="D26" s="72"/>
      <c r="E26" s="72"/>
      <c r="F26" s="72"/>
      <c r="G26" s="72"/>
      <c r="H26" s="72"/>
      <c r="I26" s="72" t="s">
        <v>449</v>
      </c>
      <c r="J26" s="72"/>
      <c r="K26" s="72"/>
      <c r="L26" s="72" t="s">
        <v>450</v>
      </c>
      <c r="M26" s="72"/>
      <c r="N26" s="72"/>
      <c r="O26" s="72"/>
      <c r="P26" s="30" t="s">
        <v>451</v>
      </c>
      <c r="Q26" s="30" t="s">
        <v>91</v>
      </c>
      <c r="R26" s="30">
        <v>35.200000000000003</v>
      </c>
      <c r="S26" s="30">
        <v>25.38</v>
      </c>
      <c r="T26" s="30">
        <v>42.58</v>
      </c>
      <c r="U26" s="32">
        <f t="shared" si="0"/>
        <v>167.7698975571316</v>
      </c>
    </row>
    <row r="27" spans="1:22" ht="22.5" customHeight="1" thickTop="1" thickBot="1" x14ac:dyDescent="0.25">
      <c r="B27" s="8" t="s">
        <v>98</v>
      </c>
      <c r="C27" s="9"/>
      <c r="D27" s="9"/>
      <c r="E27" s="9"/>
      <c r="F27" s="9"/>
      <c r="G27" s="9"/>
      <c r="H27" s="10"/>
      <c r="I27" s="10"/>
      <c r="J27" s="10"/>
      <c r="K27" s="10"/>
      <c r="L27" s="10"/>
      <c r="M27" s="10"/>
      <c r="N27" s="10"/>
      <c r="O27" s="10"/>
      <c r="P27" s="10"/>
      <c r="Q27" s="10"/>
      <c r="R27" s="10"/>
      <c r="S27" s="10"/>
      <c r="T27" s="10"/>
      <c r="U27" s="11"/>
      <c r="V27" s="33"/>
    </row>
    <row r="28" spans="1:22" ht="26.25" customHeight="1" thickTop="1" x14ac:dyDescent="0.2">
      <c r="B28" s="34"/>
      <c r="C28" s="35"/>
      <c r="D28" s="35"/>
      <c r="E28" s="35"/>
      <c r="F28" s="35"/>
      <c r="G28" s="35"/>
      <c r="H28" s="36"/>
      <c r="I28" s="36"/>
      <c r="J28" s="36"/>
      <c r="K28" s="36"/>
      <c r="L28" s="36"/>
      <c r="M28" s="36"/>
      <c r="N28" s="36"/>
      <c r="O28" s="36"/>
      <c r="P28" s="37"/>
      <c r="Q28" s="38"/>
      <c r="R28" s="39" t="s">
        <v>99</v>
      </c>
      <c r="S28" s="22" t="s">
        <v>100</v>
      </c>
      <c r="T28" s="39" t="s">
        <v>101</v>
      </c>
      <c r="U28" s="22" t="s">
        <v>102</v>
      </c>
    </row>
    <row r="29" spans="1:22" ht="26.25" customHeight="1" thickBot="1" x14ac:dyDescent="0.25">
      <c r="B29" s="40"/>
      <c r="C29" s="41"/>
      <c r="D29" s="41"/>
      <c r="E29" s="41"/>
      <c r="F29" s="41"/>
      <c r="G29" s="41"/>
      <c r="H29" s="42"/>
      <c r="I29" s="42"/>
      <c r="J29" s="42"/>
      <c r="K29" s="42"/>
      <c r="L29" s="42"/>
      <c r="M29" s="42"/>
      <c r="N29" s="42"/>
      <c r="O29" s="42"/>
      <c r="P29" s="43"/>
      <c r="Q29" s="44"/>
      <c r="R29" s="45" t="s">
        <v>103</v>
      </c>
      <c r="S29" s="44" t="s">
        <v>103</v>
      </c>
      <c r="T29" s="44" t="s">
        <v>103</v>
      </c>
      <c r="U29" s="44" t="s">
        <v>104</v>
      </c>
    </row>
    <row r="30" spans="1:22" ht="13.5" customHeight="1" thickBot="1" x14ac:dyDescent="0.25">
      <c r="B30" s="65" t="s">
        <v>105</v>
      </c>
      <c r="C30" s="66"/>
      <c r="D30" s="66"/>
      <c r="E30" s="46"/>
      <c r="F30" s="46"/>
      <c r="G30" s="46"/>
      <c r="H30" s="47"/>
      <c r="I30" s="47"/>
      <c r="J30" s="47"/>
      <c r="K30" s="47"/>
      <c r="L30" s="47"/>
      <c r="M30" s="47"/>
      <c r="N30" s="47"/>
      <c r="O30" s="47"/>
      <c r="P30" s="48"/>
      <c r="Q30" s="48"/>
      <c r="R30" s="49">
        <f>2079.426279</f>
        <v>2079.4262789999998</v>
      </c>
      <c r="S30" s="49">
        <f>1422.372314</f>
        <v>1422.372314</v>
      </c>
      <c r="T30" s="49">
        <f>1252.83756798</f>
        <v>1252.8375679799999</v>
      </c>
      <c r="U30" s="50">
        <f>+IF(ISERR(T30/S30*100),"N/A",T30/S30*100)</f>
        <v>88.080846037896094</v>
      </c>
    </row>
    <row r="31" spans="1:22" ht="13.5" customHeight="1" thickBot="1" x14ac:dyDescent="0.25">
      <c r="B31" s="67" t="s">
        <v>106</v>
      </c>
      <c r="C31" s="68"/>
      <c r="D31" s="68"/>
      <c r="E31" s="51"/>
      <c r="F31" s="51"/>
      <c r="G31" s="51"/>
      <c r="H31" s="52"/>
      <c r="I31" s="52"/>
      <c r="J31" s="52"/>
      <c r="K31" s="52"/>
      <c r="L31" s="52"/>
      <c r="M31" s="52"/>
      <c r="N31" s="52"/>
      <c r="O31" s="52"/>
      <c r="P31" s="53"/>
      <c r="Q31" s="53"/>
      <c r="R31" s="49">
        <f>1940.810627</f>
        <v>1940.8106270000001</v>
      </c>
      <c r="S31" s="49">
        <f>1362.92872</f>
        <v>1362.9287200000001</v>
      </c>
      <c r="T31" s="49">
        <f>1252.83756798</f>
        <v>1252.8375679799999</v>
      </c>
      <c r="U31" s="50">
        <f>+IF(ISERR(T31/S31*100),"N/A",T31/S31*100)</f>
        <v>91.922457102525485</v>
      </c>
    </row>
    <row r="32" spans="1:22" ht="14.85" customHeight="1" thickTop="1" thickBot="1" x14ac:dyDescent="0.25">
      <c r="B32" s="8" t="s">
        <v>107</v>
      </c>
      <c r="C32" s="9"/>
      <c r="D32" s="9"/>
      <c r="E32" s="9"/>
      <c r="F32" s="9"/>
      <c r="G32" s="9"/>
      <c r="H32" s="10"/>
      <c r="I32" s="10"/>
      <c r="J32" s="10"/>
      <c r="K32" s="10"/>
      <c r="L32" s="10"/>
      <c r="M32" s="10"/>
      <c r="N32" s="10"/>
      <c r="O32" s="10"/>
      <c r="P32" s="10"/>
      <c r="Q32" s="10"/>
      <c r="R32" s="10"/>
      <c r="S32" s="10"/>
      <c r="T32" s="10"/>
      <c r="U32" s="11"/>
    </row>
    <row r="33" spans="2:21" ht="44.25" customHeight="1" thickTop="1" x14ac:dyDescent="0.2">
      <c r="B33" s="69" t="s">
        <v>108</v>
      </c>
      <c r="C33" s="70"/>
      <c r="D33" s="70"/>
      <c r="E33" s="70"/>
      <c r="F33" s="70"/>
      <c r="G33" s="70"/>
      <c r="H33" s="70"/>
      <c r="I33" s="70"/>
      <c r="J33" s="70"/>
      <c r="K33" s="70"/>
      <c r="L33" s="70"/>
      <c r="M33" s="70"/>
      <c r="N33" s="70"/>
      <c r="O33" s="70"/>
      <c r="P33" s="70"/>
      <c r="Q33" s="70"/>
      <c r="R33" s="70"/>
      <c r="S33" s="70"/>
      <c r="T33" s="70"/>
      <c r="U33" s="71"/>
    </row>
    <row r="34" spans="2:21" ht="34.5" customHeight="1" x14ac:dyDescent="0.2">
      <c r="B34" s="59" t="s">
        <v>110</v>
      </c>
      <c r="C34" s="60"/>
      <c r="D34" s="60"/>
      <c r="E34" s="60"/>
      <c r="F34" s="60"/>
      <c r="G34" s="60"/>
      <c r="H34" s="60"/>
      <c r="I34" s="60"/>
      <c r="J34" s="60"/>
      <c r="K34" s="60"/>
      <c r="L34" s="60"/>
      <c r="M34" s="60"/>
      <c r="N34" s="60"/>
      <c r="O34" s="60"/>
      <c r="P34" s="60"/>
      <c r="Q34" s="60"/>
      <c r="R34" s="60"/>
      <c r="S34" s="60"/>
      <c r="T34" s="60"/>
      <c r="U34" s="61"/>
    </row>
    <row r="35" spans="2:21" ht="34.5" customHeight="1" x14ac:dyDescent="0.2">
      <c r="B35" s="59" t="s">
        <v>452</v>
      </c>
      <c r="C35" s="60"/>
      <c r="D35" s="60"/>
      <c r="E35" s="60"/>
      <c r="F35" s="60"/>
      <c r="G35" s="60"/>
      <c r="H35" s="60"/>
      <c r="I35" s="60"/>
      <c r="J35" s="60"/>
      <c r="K35" s="60"/>
      <c r="L35" s="60"/>
      <c r="M35" s="60"/>
      <c r="N35" s="60"/>
      <c r="O35" s="60"/>
      <c r="P35" s="60"/>
      <c r="Q35" s="60"/>
      <c r="R35" s="60"/>
      <c r="S35" s="60"/>
      <c r="T35" s="60"/>
      <c r="U35" s="61"/>
    </row>
    <row r="36" spans="2:21" ht="34.5" customHeight="1" x14ac:dyDescent="0.2">
      <c r="B36" s="59" t="s">
        <v>453</v>
      </c>
      <c r="C36" s="60"/>
      <c r="D36" s="60"/>
      <c r="E36" s="60"/>
      <c r="F36" s="60"/>
      <c r="G36" s="60"/>
      <c r="H36" s="60"/>
      <c r="I36" s="60"/>
      <c r="J36" s="60"/>
      <c r="K36" s="60"/>
      <c r="L36" s="60"/>
      <c r="M36" s="60"/>
      <c r="N36" s="60"/>
      <c r="O36" s="60"/>
      <c r="P36" s="60"/>
      <c r="Q36" s="60"/>
      <c r="R36" s="60"/>
      <c r="S36" s="60"/>
      <c r="T36" s="60"/>
      <c r="U36" s="61"/>
    </row>
    <row r="37" spans="2:21" ht="34.5" customHeight="1" x14ac:dyDescent="0.2">
      <c r="B37" s="59" t="s">
        <v>454</v>
      </c>
      <c r="C37" s="60"/>
      <c r="D37" s="60"/>
      <c r="E37" s="60"/>
      <c r="F37" s="60"/>
      <c r="G37" s="60"/>
      <c r="H37" s="60"/>
      <c r="I37" s="60"/>
      <c r="J37" s="60"/>
      <c r="K37" s="60"/>
      <c r="L37" s="60"/>
      <c r="M37" s="60"/>
      <c r="N37" s="60"/>
      <c r="O37" s="60"/>
      <c r="P37" s="60"/>
      <c r="Q37" s="60"/>
      <c r="R37" s="60"/>
      <c r="S37" s="60"/>
      <c r="T37" s="60"/>
      <c r="U37" s="61"/>
    </row>
    <row r="38" spans="2:21" ht="178.35" customHeight="1" x14ac:dyDescent="0.2">
      <c r="B38" s="59" t="s">
        <v>455</v>
      </c>
      <c r="C38" s="60"/>
      <c r="D38" s="60"/>
      <c r="E38" s="60"/>
      <c r="F38" s="60"/>
      <c r="G38" s="60"/>
      <c r="H38" s="60"/>
      <c r="I38" s="60"/>
      <c r="J38" s="60"/>
      <c r="K38" s="60"/>
      <c r="L38" s="60"/>
      <c r="M38" s="60"/>
      <c r="N38" s="60"/>
      <c r="O38" s="60"/>
      <c r="P38" s="60"/>
      <c r="Q38" s="60"/>
      <c r="R38" s="60"/>
      <c r="S38" s="60"/>
      <c r="T38" s="60"/>
      <c r="U38" s="61"/>
    </row>
    <row r="39" spans="2:21" ht="82.35" customHeight="1" x14ac:dyDescent="0.2">
      <c r="B39" s="59" t="s">
        <v>456</v>
      </c>
      <c r="C39" s="60"/>
      <c r="D39" s="60"/>
      <c r="E39" s="60"/>
      <c r="F39" s="60"/>
      <c r="G39" s="60"/>
      <c r="H39" s="60"/>
      <c r="I39" s="60"/>
      <c r="J39" s="60"/>
      <c r="K39" s="60"/>
      <c r="L39" s="60"/>
      <c r="M39" s="60"/>
      <c r="N39" s="60"/>
      <c r="O39" s="60"/>
      <c r="P39" s="60"/>
      <c r="Q39" s="60"/>
      <c r="R39" s="60"/>
      <c r="S39" s="60"/>
      <c r="T39" s="60"/>
      <c r="U39" s="61"/>
    </row>
    <row r="40" spans="2:21" ht="75.599999999999994" customHeight="1" x14ac:dyDescent="0.2">
      <c r="B40" s="59" t="s">
        <v>457</v>
      </c>
      <c r="C40" s="60"/>
      <c r="D40" s="60"/>
      <c r="E40" s="60"/>
      <c r="F40" s="60"/>
      <c r="G40" s="60"/>
      <c r="H40" s="60"/>
      <c r="I40" s="60"/>
      <c r="J40" s="60"/>
      <c r="K40" s="60"/>
      <c r="L40" s="60"/>
      <c r="M40" s="60"/>
      <c r="N40" s="60"/>
      <c r="O40" s="60"/>
      <c r="P40" s="60"/>
      <c r="Q40" s="60"/>
      <c r="R40" s="60"/>
      <c r="S40" s="60"/>
      <c r="T40" s="60"/>
      <c r="U40" s="61"/>
    </row>
    <row r="41" spans="2:21" ht="139.35" customHeight="1" x14ac:dyDescent="0.2">
      <c r="B41" s="59" t="s">
        <v>458</v>
      </c>
      <c r="C41" s="60"/>
      <c r="D41" s="60"/>
      <c r="E41" s="60"/>
      <c r="F41" s="60"/>
      <c r="G41" s="60"/>
      <c r="H41" s="60"/>
      <c r="I41" s="60"/>
      <c r="J41" s="60"/>
      <c r="K41" s="60"/>
      <c r="L41" s="60"/>
      <c r="M41" s="60"/>
      <c r="N41" s="60"/>
      <c r="O41" s="60"/>
      <c r="P41" s="60"/>
      <c r="Q41" s="60"/>
      <c r="R41" s="60"/>
      <c r="S41" s="60"/>
      <c r="T41" s="60"/>
      <c r="U41" s="61"/>
    </row>
    <row r="42" spans="2:21" ht="138.19999999999999" customHeight="1" x14ac:dyDescent="0.2">
      <c r="B42" s="59" t="s">
        <v>459</v>
      </c>
      <c r="C42" s="60"/>
      <c r="D42" s="60"/>
      <c r="E42" s="60"/>
      <c r="F42" s="60"/>
      <c r="G42" s="60"/>
      <c r="H42" s="60"/>
      <c r="I42" s="60"/>
      <c r="J42" s="60"/>
      <c r="K42" s="60"/>
      <c r="L42" s="60"/>
      <c r="M42" s="60"/>
      <c r="N42" s="60"/>
      <c r="O42" s="60"/>
      <c r="P42" s="60"/>
      <c r="Q42" s="60"/>
      <c r="R42" s="60"/>
      <c r="S42" s="60"/>
      <c r="T42" s="60"/>
      <c r="U42" s="61"/>
    </row>
    <row r="43" spans="2:21" ht="147.19999999999999" customHeight="1" x14ac:dyDescent="0.2">
      <c r="B43" s="59" t="s">
        <v>460</v>
      </c>
      <c r="C43" s="60"/>
      <c r="D43" s="60"/>
      <c r="E43" s="60"/>
      <c r="F43" s="60"/>
      <c r="G43" s="60"/>
      <c r="H43" s="60"/>
      <c r="I43" s="60"/>
      <c r="J43" s="60"/>
      <c r="K43" s="60"/>
      <c r="L43" s="60"/>
      <c r="M43" s="60"/>
      <c r="N43" s="60"/>
      <c r="O43" s="60"/>
      <c r="P43" s="60"/>
      <c r="Q43" s="60"/>
      <c r="R43" s="60"/>
      <c r="S43" s="60"/>
      <c r="T43" s="60"/>
      <c r="U43" s="61"/>
    </row>
    <row r="44" spans="2:21" ht="179.45" customHeight="1" x14ac:dyDescent="0.2">
      <c r="B44" s="59" t="s">
        <v>461</v>
      </c>
      <c r="C44" s="60"/>
      <c r="D44" s="60"/>
      <c r="E44" s="60"/>
      <c r="F44" s="60"/>
      <c r="G44" s="60"/>
      <c r="H44" s="60"/>
      <c r="I44" s="60"/>
      <c r="J44" s="60"/>
      <c r="K44" s="60"/>
      <c r="L44" s="60"/>
      <c r="M44" s="60"/>
      <c r="N44" s="60"/>
      <c r="O44" s="60"/>
      <c r="P44" s="60"/>
      <c r="Q44" s="60"/>
      <c r="R44" s="60"/>
      <c r="S44" s="60"/>
      <c r="T44" s="60"/>
      <c r="U44" s="61"/>
    </row>
    <row r="45" spans="2:21" ht="149.25" customHeight="1" x14ac:dyDescent="0.2">
      <c r="B45" s="59" t="s">
        <v>462</v>
      </c>
      <c r="C45" s="60"/>
      <c r="D45" s="60"/>
      <c r="E45" s="60"/>
      <c r="F45" s="60"/>
      <c r="G45" s="60"/>
      <c r="H45" s="60"/>
      <c r="I45" s="60"/>
      <c r="J45" s="60"/>
      <c r="K45" s="60"/>
      <c r="L45" s="60"/>
      <c r="M45" s="60"/>
      <c r="N45" s="60"/>
      <c r="O45" s="60"/>
      <c r="P45" s="60"/>
      <c r="Q45" s="60"/>
      <c r="R45" s="60"/>
      <c r="S45" s="60"/>
      <c r="T45" s="60"/>
      <c r="U45" s="61"/>
    </row>
    <row r="46" spans="2:21" ht="44.85" customHeight="1" x14ac:dyDescent="0.2">
      <c r="B46" s="59" t="s">
        <v>463</v>
      </c>
      <c r="C46" s="60"/>
      <c r="D46" s="60"/>
      <c r="E46" s="60"/>
      <c r="F46" s="60"/>
      <c r="G46" s="60"/>
      <c r="H46" s="60"/>
      <c r="I46" s="60"/>
      <c r="J46" s="60"/>
      <c r="K46" s="60"/>
      <c r="L46" s="60"/>
      <c r="M46" s="60"/>
      <c r="N46" s="60"/>
      <c r="O46" s="60"/>
      <c r="P46" s="60"/>
      <c r="Q46" s="60"/>
      <c r="R46" s="60"/>
      <c r="S46" s="60"/>
      <c r="T46" s="60"/>
      <c r="U46" s="61"/>
    </row>
    <row r="47" spans="2:21" ht="74.849999999999994" customHeight="1" x14ac:dyDescent="0.2">
      <c r="B47" s="59" t="s">
        <v>464</v>
      </c>
      <c r="C47" s="60"/>
      <c r="D47" s="60"/>
      <c r="E47" s="60"/>
      <c r="F47" s="60"/>
      <c r="G47" s="60"/>
      <c r="H47" s="60"/>
      <c r="I47" s="60"/>
      <c r="J47" s="60"/>
      <c r="K47" s="60"/>
      <c r="L47" s="60"/>
      <c r="M47" s="60"/>
      <c r="N47" s="60"/>
      <c r="O47" s="60"/>
      <c r="P47" s="60"/>
      <c r="Q47" s="60"/>
      <c r="R47" s="60"/>
      <c r="S47" s="60"/>
      <c r="T47" s="60"/>
      <c r="U47" s="61"/>
    </row>
    <row r="48" spans="2:21" ht="55.5" customHeight="1" x14ac:dyDescent="0.2">
      <c r="B48" s="59" t="s">
        <v>465</v>
      </c>
      <c r="C48" s="60"/>
      <c r="D48" s="60"/>
      <c r="E48" s="60"/>
      <c r="F48" s="60"/>
      <c r="G48" s="60"/>
      <c r="H48" s="60"/>
      <c r="I48" s="60"/>
      <c r="J48" s="60"/>
      <c r="K48" s="60"/>
      <c r="L48" s="60"/>
      <c r="M48" s="60"/>
      <c r="N48" s="60"/>
      <c r="O48" s="60"/>
      <c r="P48" s="60"/>
      <c r="Q48" s="60"/>
      <c r="R48" s="60"/>
      <c r="S48" s="60"/>
      <c r="T48" s="60"/>
      <c r="U48" s="61"/>
    </row>
    <row r="49" spans="2:21" ht="52.35" customHeight="1" thickBot="1" x14ac:dyDescent="0.25">
      <c r="B49" s="62" t="s">
        <v>466</v>
      </c>
      <c r="C49" s="63"/>
      <c r="D49" s="63"/>
      <c r="E49" s="63"/>
      <c r="F49" s="63"/>
      <c r="G49" s="63"/>
      <c r="H49" s="63"/>
      <c r="I49" s="63"/>
      <c r="J49" s="63"/>
      <c r="K49" s="63"/>
      <c r="L49" s="63"/>
      <c r="M49" s="63"/>
      <c r="N49" s="63"/>
      <c r="O49" s="63"/>
      <c r="P49" s="63"/>
      <c r="Q49" s="63"/>
      <c r="R49" s="63"/>
      <c r="S49" s="63"/>
      <c r="T49" s="63"/>
      <c r="U49" s="64"/>
    </row>
  </sheetData>
  <mergeCells count="88">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C24:H24"/>
    <mergeCell ref="I24:K24"/>
    <mergeCell ref="L24:O24"/>
    <mergeCell ref="C25:H25"/>
    <mergeCell ref="I25:K25"/>
    <mergeCell ref="L25:O25"/>
    <mergeCell ref="B39:U39"/>
    <mergeCell ref="C26:H26"/>
    <mergeCell ref="I26:K26"/>
    <mergeCell ref="L26:O26"/>
    <mergeCell ref="B30:D30"/>
    <mergeCell ref="B31:D31"/>
    <mergeCell ref="B33:U33"/>
    <mergeCell ref="B34:U34"/>
    <mergeCell ref="B35:U35"/>
    <mergeCell ref="B36:U36"/>
    <mergeCell ref="B37:U37"/>
    <mergeCell ref="B38:U38"/>
    <mergeCell ref="B46:U46"/>
    <mergeCell ref="B47:U47"/>
    <mergeCell ref="B48:U48"/>
    <mergeCell ref="B49:U49"/>
    <mergeCell ref="B40:U40"/>
    <mergeCell ref="B41:U41"/>
    <mergeCell ref="B42:U42"/>
    <mergeCell ref="B43:U43"/>
    <mergeCell ref="B44:U44"/>
    <mergeCell ref="B45:U4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584</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467</v>
      </c>
      <c r="D4" s="99" t="s">
        <v>468</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273</v>
      </c>
      <c r="L6" s="80"/>
      <c r="M6" s="80"/>
      <c r="N6" s="19"/>
      <c r="O6" s="20" t="s">
        <v>20</v>
      </c>
      <c r="P6" s="80" t="s">
        <v>469</v>
      </c>
      <c r="Q6" s="80"/>
      <c r="R6" s="21"/>
      <c r="S6" s="20" t="s">
        <v>22</v>
      </c>
      <c r="T6" s="80" t="s">
        <v>470</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471</v>
      </c>
      <c r="D11" s="73"/>
      <c r="E11" s="73"/>
      <c r="F11" s="73"/>
      <c r="G11" s="73"/>
      <c r="H11" s="73"/>
      <c r="I11" s="73" t="s">
        <v>472</v>
      </c>
      <c r="J11" s="73"/>
      <c r="K11" s="73"/>
      <c r="L11" s="73" t="s">
        <v>473</v>
      </c>
      <c r="M11" s="73"/>
      <c r="N11" s="73"/>
      <c r="O11" s="73"/>
      <c r="P11" s="27" t="s">
        <v>48</v>
      </c>
      <c r="Q11" s="27" t="s">
        <v>43</v>
      </c>
      <c r="R11" s="27">
        <v>6.91</v>
      </c>
      <c r="S11" s="27" t="s">
        <v>44</v>
      </c>
      <c r="T11" s="27" t="s">
        <v>44</v>
      </c>
      <c r="U11" s="28" t="str">
        <f>IF(ISERR(T11/S11*100),"N/A",T11/S11*100)</f>
        <v>N/A</v>
      </c>
    </row>
    <row r="12" spans="1:34" ht="75" customHeight="1" thickBot="1" x14ac:dyDescent="0.25">
      <c r="A12" s="25"/>
      <c r="B12" s="29" t="s">
        <v>45</v>
      </c>
      <c r="C12" s="72" t="s">
        <v>45</v>
      </c>
      <c r="D12" s="72"/>
      <c r="E12" s="72"/>
      <c r="F12" s="72"/>
      <c r="G12" s="72"/>
      <c r="H12" s="72"/>
      <c r="I12" s="72" t="s">
        <v>474</v>
      </c>
      <c r="J12" s="72"/>
      <c r="K12" s="72"/>
      <c r="L12" s="72" t="s">
        <v>475</v>
      </c>
      <c r="M12" s="72"/>
      <c r="N12" s="72"/>
      <c r="O12" s="72"/>
      <c r="P12" s="30" t="s">
        <v>476</v>
      </c>
      <c r="Q12" s="30" t="s">
        <v>43</v>
      </c>
      <c r="R12" s="31">
        <v>65</v>
      </c>
      <c r="S12" s="31" t="s">
        <v>44</v>
      </c>
      <c r="T12" s="31" t="s">
        <v>44</v>
      </c>
      <c r="U12" s="32" t="str">
        <f>IF(ISERR(T12/S12*100),"N/A",T12/S12*100)</f>
        <v>N/A</v>
      </c>
    </row>
    <row r="13" spans="1:34" ht="75" customHeight="1" thickTop="1" thickBot="1" x14ac:dyDescent="0.25">
      <c r="A13" s="25"/>
      <c r="B13" s="26" t="s">
        <v>62</v>
      </c>
      <c r="C13" s="73" t="s">
        <v>477</v>
      </c>
      <c r="D13" s="73"/>
      <c r="E13" s="73"/>
      <c r="F13" s="73"/>
      <c r="G13" s="73"/>
      <c r="H13" s="73"/>
      <c r="I13" s="73" t="s">
        <v>478</v>
      </c>
      <c r="J13" s="73"/>
      <c r="K13" s="73"/>
      <c r="L13" s="73" t="s">
        <v>479</v>
      </c>
      <c r="M13" s="73"/>
      <c r="N13" s="73"/>
      <c r="O13" s="73"/>
      <c r="P13" s="27" t="s">
        <v>48</v>
      </c>
      <c r="Q13" s="27" t="s">
        <v>43</v>
      </c>
      <c r="R13" s="27">
        <v>99</v>
      </c>
      <c r="S13" s="27" t="s">
        <v>44</v>
      </c>
      <c r="T13" s="27" t="s">
        <v>44</v>
      </c>
      <c r="U13" s="28" t="str">
        <f>IF(ISERR(T13/S13*100),"N/A",T13/S13*100)</f>
        <v>N/A</v>
      </c>
    </row>
    <row r="14" spans="1:34" ht="75" customHeight="1" thickTop="1" thickBot="1" x14ac:dyDescent="0.25">
      <c r="A14" s="25"/>
      <c r="B14" s="26" t="s">
        <v>71</v>
      </c>
      <c r="C14" s="73" t="s">
        <v>480</v>
      </c>
      <c r="D14" s="73"/>
      <c r="E14" s="73"/>
      <c r="F14" s="73"/>
      <c r="G14" s="73"/>
      <c r="H14" s="73"/>
      <c r="I14" s="73" t="s">
        <v>481</v>
      </c>
      <c r="J14" s="73"/>
      <c r="K14" s="73"/>
      <c r="L14" s="73" t="s">
        <v>482</v>
      </c>
      <c r="M14" s="73"/>
      <c r="N14" s="73"/>
      <c r="O14" s="73"/>
      <c r="P14" s="27" t="s">
        <v>48</v>
      </c>
      <c r="Q14" s="27" t="s">
        <v>75</v>
      </c>
      <c r="R14" s="27">
        <v>97</v>
      </c>
      <c r="S14" s="27">
        <v>97</v>
      </c>
      <c r="T14" s="27">
        <v>98.48</v>
      </c>
      <c r="U14" s="28">
        <f>IF(ISERR(T14/S14*100),"N/A",T14/S14*100)</f>
        <v>101.5257731958763</v>
      </c>
    </row>
    <row r="15" spans="1:34" ht="75" customHeight="1" thickTop="1" thickBot="1" x14ac:dyDescent="0.25">
      <c r="A15" s="25"/>
      <c r="B15" s="26" t="s">
        <v>87</v>
      </c>
      <c r="C15" s="73" t="s">
        <v>483</v>
      </c>
      <c r="D15" s="73"/>
      <c r="E15" s="73"/>
      <c r="F15" s="73"/>
      <c r="G15" s="73"/>
      <c r="H15" s="73"/>
      <c r="I15" s="73" t="s">
        <v>484</v>
      </c>
      <c r="J15" s="73"/>
      <c r="K15" s="73"/>
      <c r="L15" s="73" t="s">
        <v>485</v>
      </c>
      <c r="M15" s="73"/>
      <c r="N15" s="73"/>
      <c r="O15" s="73"/>
      <c r="P15" s="27" t="s">
        <v>48</v>
      </c>
      <c r="Q15" s="27" t="s">
        <v>291</v>
      </c>
      <c r="R15" s="27">
        <v>98</v>
      </c>
      <c r="S15" s="27">
        <v>98</v>
      </c>
      <c r="T15" s="27">
        <v>98.27</v>
      </c>
      <c r="U15" s="28">
        <f>IF(ISERR(T15/S15*100),"N/A",T15/S15*100)</f>
        <v>100.27551020408163</v>
      </c>
    </row>
    <row r="16" spans="1:34" ht="22.5" customHeight="1" thickTop="1" thickBot="1" x14ac:dyDescent="0.25">
      <c r="B16" s="8" t="s">
        <v>98</v>
      </c>
      <c r="C16" s="9"/>
      <c r="D16" s="9"/>
      <c r="E16" s="9"/>
      <c r="F16" s="9"/>
      <c r="G16" s="9"/>
      <c r="H16" s="10"/>
      <c r="I16" s="10"/>
      <c r="J16" s="10"/>
      <c r="K16" s="10"/>
      <c r="L16" s="10"/>
      <c r="M16" s="10"/>
      <c r="N16" s="10"/>
      <c r="O16" s="10"/>
      <c r="P16" s="10"/>
      <c r="Q16" s="10"/>
      <c r="R16" s="10"/>
      <c r="S16" s="10"/>
      <c r="T16" s="10"/>
      <c r="U16" s="11"/>
      <c r="V16" s="33"/>
    </row>
    <row r="17" spans="2:21" ht="26.25" customHeight="1" thickTop="1" x14ac:dyDescent="0.2">
      <c r="B17" s="34"/>
      <c r="C17" s="35"/>
      <c r="D17" s="35"/>
      <c r="E17" s="35"/>
      <c r="F17" s="35"/>
      <c r="G17" s="35"/>
      <c r="H17" s="36"/>
      <c r="I17" s="36"/>
      <c r="J17" s="36"/>
      <c r="K17" s="36"/>
      <c r="L17" s="36"/>
      <c r="M17" s="36"/>
      <c r="N17" s="36"/>
      <c r="O17" s="36"/>
      <c r="P17" s="37"/>
      <c r="Q17" s="38"/>
      <c r="R17" s="39" t="s">
        <v>99</v>
      </c>
      <c r="S17" s="22" t="s">
        <v>100</v>
      </c>
      <c r="T17" s="39" t="s">
        <v>101</v>
      </c>
      <c r="U17" s="22" t="s">
        <v>102</v>
      </c>
    </row>
    <row r="18" spans="2:21" ht="26.25" customHeight="1" thickBot="1" x14ac:dyDescent="0.25">
      <c r="B18" s="40"/>
      <c r="C18" s="41"/>
      <c r="D18" s="41"/>
      <c r="E18" s="41"/>
      <c r="F18" s="41"/>
      <c r="G18" s="41"/>
      <c r="H18" s="42"/>
      <c r="I18" s="42"/>
      <c r="J18" s="42"/>
      <c r="K18" s="42"/>
      <c r="L18" s="42"/>
      <c r="M18" s="42"/>
      <c r="N18" s="42"/>
      <c r="O18" s="42"/>
      <c r="P18" s="43"/>
      <c r="Q18" s="44"/>
      <c r="R18" s="45" t="s">
        <v>103</v>
      </c>
      <c r="S18" s="44" t="s">
        <v>103</v>
      </c>
      <c r="T18" s="44" t="s">
        <v>103</v>
      </c>
      <c r="U18" s="44" t="s">
        <v>104</v>
      </c>
    </row>
    <row r="19" spans="2:21" ht="13.5" customHeight="1" thickBot="1" x14ac:dyDescent="0.25">
      <c r="B19" s="65" t="s">
        <v>105</v>
      </c>
      <c r="C19" s="66"/>
      <c r="D19" s="66"/>
      <c r="E19" s="46"/>
      <c r="F19" s="46"/>
      <c r="G19" s="46"/>
      <c r="H19" s="47"/>
      <c r="I19" s="47"/>
      <c r="J19" s="47"/>
      <c r="K19" s="47"/>
      <c r="L19" s="47"/>
      <c r="M19" s="47"/>
      <c r="N19" s="47"/>
      <c r="O19" s="47"/>
      <c r="P19" s="48"/>
      <c r="Q19" s="48"/>
      <c r="R19" s="49">
        <f>266214.252087</f>
        <v>266214.252087</v>
      </c>
      <c r="S19" s="49">
        <f>183997.720678</f>
        <v>183997.72067800001</v>
      </c>
      <c r="T19" s="49">
        <f>190919.47152897</f>
        <v>190919.47152897</v>
      </c>
      <c r="U19" s="50">
        <f>+IF(ISERR(T19/S19*100),"N/A",T19/S19*100)</f>
        <v>103.76186771524371</v>
      </c>
    </row>
    <row r="20" spans="2:21" ht="13.5" customHeight="1" thickBot="1" x14ac:dyDescent="0.25">
      <c r="B20" s="67" t="s">
        <v>106</v>
      </c>
      <c r="C20" s="68"/>
      <c r="D20" s="68"/>
      <c r="E20" s="51"/>
      <c r="F20" s="51"/>
      <c r="G20" s="51"/>
      <c r="H20" s="52"/>
      <c r="I20" s="52"/>
      <c r="J20" s="52"/>
      <c r="K20" s="52"/>
      <c r="L20" s="52"/>
      <c r="M20" s="52"/>
      <c r="N20" s="52"/>
      <c r="O20" s="52"/>
      <c r="P20" s="53"/>
      <c r="Q20" s="53"/>
      <c r="R20" s="49">
        <f>275581.259061</f>
        <v>275581.25906100002</v>
      </c>
      <c r="S20" s="49">
        <f>190384.057065</f>
        <v>190384.057065</v>
      </c>
      <c r="T20" s="49">
        <f>190919.47152897</f>
        <v>190919.47152897</v>
      </c>
      <c r="U20" s="50">
        <f>+IF(ISERR(T20/S20*100),"N/A",T20/S20*100)</f>
        <v>100.28122862398463</v>
      </c>
    </row>
    <row r="21" spans="2:21" ht="14.85" customHeight="1" thickTop="1" thickBot="1" x14ac:dyDescent="0.25">
      <c r="B21" s="8" t="s">
        <v>107</v>
      </c>
      <c r="C21" s="9"/>
      <c r="D21" s="9"/>
      <c r="E21" s="9"/>
      <c r="F21" s="9"/>
      <c r="G21" s="9"/>
      <c r="H21" s="10"/>
      <c r="I21" s="10"/>
      <c r="J21" s="10"/>
      <c r="K21" s="10"/>
      <c r="L21" s="10"/>
      <c r="M21" s="10"/>
      <c r="N21" s="10"/>
      <c r="O21" s="10"/>
      <c r="P21" s="10"/>
      <c r="Q21" s="10"/>
      <c r="R21" s="10"/>
      <c r="S21" s="10"/>
      <c r="T21" s="10"/>
      <c r="U21" s="11"/>
    </row>
    <row r="22" spans="2:21" ht="44.25" customHeight="1" thickTop="1" x14ac:dyDescent="0.2">
      <c r="B22" s="69" t="s">
        <v>108</v>
      </c>
      <c r="C22" s="70"/>
      <c r="D22" s="70"/>
      <c r="E22" s="70"/>
      <c r="F22" s="70"/>
      <c r="G22" s="70"/>
      <c r="H22" s="70"/>
      <c r="I22" s="70"/>
      <c r="J22" s="70"/>
      <c r="K22" s="70"/>
      <c r="L22" s="70"/>
      <c r="M22" s="70"/>
      <c r="N22" s="70"/>
      <c r="O22" s="70"/>
      <c r="P22" s="70"/>
      <c r="Q22" s="70"/>
      <c r="R22" s="70"/>
      <c r="S22" s="70"/>
      <c r="T22" s="70"/>
      <c r="U22" s="71"/>
    </row>
    <row r="23" spans="2:21" ht="34.5" customHeight="1" x14ac:dyDescent="0.2">
      <c r="B23" s="59" t="s">
        <v>486</v>
      </c>
      <c r="C23" s="60"/>
      <c r="D23" s="60"/>
      <c r="E23" s="60"/>
      <c r="F23" s="60"/>
      <c r="G23" s="60"/>
      <c r="H23" s="60"/>
      <c r="I23" s="60"/>
      <c r="J23" s="60"/>
      <c r="K23" s="60"/>
      <c r="L23" s="60"/>
      <c r="M23" s="60"/>
      <c r="N23" s="60"/>
      <c r="O23" s="60"/>
      <c r="P23" s="60"/>
      <c r="Q23" s="60"/>
      <c r="R23" s="60"/>
      <c r="S23" s="60"/>
      <c r="T23" s="60"/>
      <c r="U23" s="61"/>
    </row>
    <row r="24" spans="2:21" ht="34.5" customHeight="1" x14ac:dyDescent="0.2">
      <c r="B24" s="59" t="s">
        <v>487</v>
      </c>
      <c r="C24" s="60"/>
      <c r="D24" s="60"/>
      <c r="E24" s="60"/>
      <c r="F24" s="60"/>
      <c r="G24" s="60"/>
      <c r="H24" s="60"/>
      <c r="I24" s="60"/>
      <c r="J24" s="60"/>
      <c r="K24" s="60"/>
      <c r="L24" s="60"/>
      <c r="M24" s="60"/>
      <c r="N24" s="60"/>
      <c r="O24" s="60"/>
      <c r="P24" s="60"/>
      <c r="Q24" s="60"/>
      <c r="R24" s="60"/>
      <c r="S24" s="60"/>
      <c r="T24" s="60"/>
      <c r="U24" s="61"/>
    </row>
    <row r="25" spans="2:21" ht="34.5" customHeight="1" x14ac:dyDescent="0.2">
      <c r="B25" s="59" t="s">
        <v>488</v>
      </c>
      <c r="C25" s="60"/>
      <c r="D25" s="60"/>
      <c r="E25" s="60"/>
      <c r="F25" s="60"/>
      <c r="G25" s="60"/>
      <c r="H25" s="60"/>
      <c r="I25" s="60"/>
      <c r="J25" s="60"/>
      <c r="K25" s="60"/>
      <c r="L25" s="60"/>
      <c r="M25" s="60"/>
      <c r="N25" s="60"/>
      <c r="O25" s="60"/>
      <c r="P25" s="60"/>
      <c r="Q25" s="60"/>
      <c r="R25" s="60"/>
      <c r="S25" s="60"/>
      <c r="T25" s="60"/>
      <c r="U25" s="61"/>
    </row>
    <row r="26" spans="2:21" ht="33.950000000000003" customHeight="1" x14ac:dyDescent="0.2">
      <c r="B26" s="59" t="s">
        <v>489</v>
      </c>
      <c r="C26" s="60"/>
      <c r="D26" s="60"/>
      <c r="E26" s="60"/>
      <c r="F26" s="60"/>
      <c r="G26" s="60"/>
      <c r="H26" s="60"/>
      <c r="I26" s="60"/>
      <c r="J26" s="60"/>
      <c r="K26" s="60"/>
      <c r="L26" s="60"/>
      <c r="M26" s="60"/>
      <c r="N26" s="60"/>
      <c r="O26" s="60"/>
      <c r="P26" s="60"/>
      <c r="Q26" s="60"/>
      <c r="R26" s="60"/>
      <c r="S26" s="60"/>
      <c r="T26" s="60"/>
      <c r="U26" s="61"/>
    </row>
    <row r="27" spans="2:21" ht="24.2" customHeight="1" thickBot="1" x14ac:dyDescent="0.25">
      <c r="B27" s="62" t="s">
        <v>490</v>
      </c>
      <c r="C27" s="63"/>
      <c r="D27" s="63"/>
      <c r="E27" s="63"/>
      <c r="F27" s="63"/>
      <c r="G27" s="63"/>
      <c r="H27" s="63"/>
      <c r="I27" s="63"/>
      <c r="J27" s="63"/>
      <c r="K27" s="63"/>
      <c r="L27" s="63"/>
      <c r="M27" s="63"/>
      <c r="N27" s="63"/>
      <c r="O27" s="63"/>
      <c r="P27" s="63"/>
      <c r="Q27" s="63"/>
      <c r="R27" s="63"/>
      <c r="S27" s="63"/>
      <c r="T27" s="63"/>
      <c r="U27" s="64"/>
    </row>
  </sheetData>
  <mergeCells count="4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6:U26"/>
    <mergeCell ref="B27:U27"/>
    <mergeCell ref="B19:D19"/>
    <mergeCell ref="B20:D20"/>
    <mergeCell ref="B22:U22"/>
    <mergeCell ref="B23:U23"/>
    <mergeCell ref="B24:U24"/>
    <mergeCell ref="B25:U2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26</vt:i4>
      </vt:variant>
    </vt:vector>
  </HeadingPairs>
  <TitlesOfParts>
    <vt:vector size="39" baseType="lpstr">
      <vt:lpstr>Portada</vt:lpstr>
      <vt:lpstr>50 E001</vt:lpstr>
      <vt:lpstr>50 E003</vt:lpstr>
      <vt:lpstr>50 E004</vt:lpstr>
      <vt:lpstr>50 E006</vt:lpstr>
      <vt:lpstr>50 E007</vt:lpstr>
      <vt:lpstr>50 E011</vt:lpstr>
      <vt:lpstr>50 E012</vt:lpstr>
      <vt:lpstr>50 J001</vt:lpstr>
      <vt:lpstr>50 J002</vt:lpstr>
      <vt:lpstr>50 J004</vt:lpstr>
      <vt:lpstr>50 K012</vt:lpstr>
      <vt:lpstr>50 K029</vt:lpstr>
      <vt:lpstr>'50 E001'!Área_de_impresión</vt:lpstr>
      <vt:lpstr>'50 E003'!Área_de_impresión</vt:lpstr>
      <vt:lpstr>'50 E004'!Área_de_impresión</vt:lpstr>
      <vt:lpstr>'50 E006'!Área_de_impresión</vt:lpstr>
      <vt:lpstr>'50 E007'!Área_de_impresión</vt:lpstr>
      <vt:lpstr>'50 E011'!Área_de_impresión</vt:lpstr>
      <vt:lpstr>'50 E012'!Área_de_impresión</vt:lpstr>
      <vt:lpstr>'50 J001'!Área_de_impresión</vt:lpstr>
      <vt:lpstr>'50 J002'!Área_de_impresión</vt:lpstr>
      <vt:lpstr>'50 J004'!Área_de_impresión</vt:lpstr>
      <vt:lpstr>'50 K012'!Área_de_impresión</vt:lpstr>
      <vt:lpstr>'50 K029'!Área_de_impresión</vt:lpstr>
      <vt:lpstr>Portada!Área_de_impresión</vt:lpstr>
      <vt:lpstr>'50 E001'!Títulos_a_imprimir</vt:lpstr>
      <vt:lpstr>'50 E003'!Títulos_a_imprimir</vt:lpstr>
      <vt:lpstr>'50 E004'!Títulos_a_imprimir</vt:lpstr>
      <vt:lpstr>'50 E006'!Títulos_a_imprimir</vt:lpstr>
      <vt:lpstr>'50 E007'!Títulos_a_imprimir</vt:lpstr>
      <vt:lpstr>'50 E011'!Títulos_a_imprimir</vt:lpstr>
      <vt:lpstr>'50 E012'!Títulos_a_imprimir</vt:lpstr>
      <vt:lpstr>'50 J001'!Títulos_a_imprimir</vt:lpstr>
      <vt:lpstr>'50 J002'!Títulos_a_imprimir</vt:lpstr>
      <vt:lpstr>'50 J004'!Títulos_a_imprimir</vt:lpstr>
      <vt:lpstr>'50 K012'!Títulos_a_imprimir</vt:lpstr>
      <vt:lpstr>'50 K029'!Títulos_a_imprimir</vt:lpstr>
      <vt:lpstr>Portada!Títulos_a_imprimir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Luis Segura Luna</cp:lastModifiedBy>
  <cp:lastPrinted>2009-03-26T01:46:20Z</cp:lastPrinted>
  <dcterms:created xsi:type="dcterms:W3CDTF">2009-03-25T01:44:41Z</dcterms:created>
  <dcterms:modified xsi:type="dcterms:W3CDTF">2019-10-18T23:53:11Z</dcterms:modified>
</cp:coreProperties>
</file>