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90" yWindow="1365" windowWidth="17775" windowHeight="11130"/>
  </bookViews>
  <sheets>
    <sheet name="Portada" sheetId="1" r:id="rId1"/>
    <sheet name="50 E001" sheetId="2" r:id="rId2"/>
    <sheet name="50 E003" sheetId="3" r:id="rId3"/>
    <sheet name="50 E004" sheetId="4" r:id="rId4"/>
    <sheet name="50 E006" sheetId="5" r:id="rId5"/>
    <sheet name="50 E007" sheetId="6" r:id="rId6"/>
    <sheet name="50 E011" sheetId="7" r:id="rId7"/>
    <sheet name="50 E012" sheetId="8" r:id="rId8"/>
    <sheet name="50 J001" sheetId="9" r:id="rId9"/>
    <sheet name="50 J002" sheetId="10" r:id="rId10"/>
    <sheet name="50 J004" sheetId="11" r:id="rId11"/>
    <sheet name="50 K012" sheetId="12" r:id="rId12"/>
    <sheet name="50 K029" sheetId="13" r:id="rId13"/>
  </sheets>
  <definedNames>
    <definedName name="_xlnm.Print_Area" localSheetId="1">'50 E001'!$B$2:$U$59</definedName>
    <definedName name="_xlnm.Print_Area" localSheetId="2">'50 E003'!$B$2:$U$49</definedName>
    <definedName name="_xlnm.Print_Area" localSheetId="3">'50 E004'!$B$2:$U$41</definedName>
    <definedName name="_xlnm.Print_Area" localSheetId="4">'50 E006'!$B$2:$U$39</definedName>
    <definedName name="_xlnm.Print_Area" localSheetId="5">'50 E007'!$B$2:$U$39</definedName>
    <definedName name="_xlnm.Print_Area" localSheetId="6">'50 E011'!$B$2:$U$61</definedName>
    <definedName name="_xlnm.Print_Area" localSheetId="7">'50 E012'!$B$2:$U$53</definedName>
    <definedName name="_xlnm.Print_Area" localSheetId="8">'50 J001'!$B$2:$U$31</definedName>
    <definedName name="_xlnm.Print_Area" localSheetId="9">'50 J002'!$B$2:$U$31</definedName>
    <definedName name="_xlnm.Print_Area" localSheetId="10">'50 J004'!$B$2:$U$31</definedName>
    <definedName name="_xlnm.Print_Area" localSheetId="11">'50 K012'!$B$2:$U$31</definedName>
    <definedName name="_xlnm.Print_Area" localSheetId="12">'50 K029'!$B$2:$U$39</definedName>
    <definedName name="_xlnm.Print_Area" localSheetId="0">Portada!$B$1:$AD$86</definedName>
    <definedName name="_xlnm.Print_Titles" localSheetId="1">'50 E001'!$1:$4</definedName>
    <definedName name="_xlnm.Print_Titles" localSheetId="2">'50 E003'!$1:$4</definedName>
    <definedName name="_xlnm.Print_Titles" localSheetId="3">'50 E004'!$1:$4</definedName>
    <definedName name="_xlnm.Print_Titles" localSheetId="4">'50 E006'!$1:$4</definedName>
    <definedName name="_xlnm.Print_Titles" localSheetId="5">'50 E007'!$1:$4</definedName>
    <definedName name="_xlnm.Print_Titles" localSheetId="6">'50 E011'!$1:$4</definedName>
    <definedName name="_xlnm.Print_Titles" localSheetId="7">'50 E012'!$1:$4</definedName>
    <definedName name="_xlnm.Print_Titles" localSheetId="8">'50 J001'!$1:$4</definedName>
    <definedName name="_xlnm.Print_Titles" localSheetId="9">'50 J002'!$1:$4</definedName>
    <definedName name="_xlnm.Print_Titles" localSheetId="10">'50 J004'!$1:$4</definedName>
    <definedName name="_xlnm.Print_Titles" localSheetId="11">'50 K012'!$1:$4</definedName>
    <definedName name="_xlnm.Print_Titles" localSheetId="12">'50 K029'!$1:$4</definedName>
    <definedName name="_xlnm.Print_Titles" localSheetId="0">Portada!$1:$4</definedName>
  </definedNames>
  <calcPr calcId="145621"/>
</workbook>
</file>

<file path=xl/calcChain.xml><?xml version="1.0" encoding="utf-8"?>
<calcChain xmlns="http://schemas.openxmlformats.org/spreadsheetml/2006/main">
  <c r="T24" i="13" l="1"/>
  <c r="S24" i="13"/>
  <c r="U24" i="13" s="1"/>
  <c r="R24" i="13"/>
  <c r="T23" i="13"/>
  <c r="S23" i="13"/>
  <c r="U23" i="13" s="1"/>
  <c r="R23" i="13"/>
  <c r="U19" i="13"/>
  <c r="U18" i="13"/>
  <c r="U17" i="13"/>
  <c r="U16" i="13"/>
  <c r="U15" i="13"/>
  <c r="U14" i="13"/>
  <c r="U13" i="13"/>
  <c r="U12" i="13"/>
  <c r="U11" i="13"/>
  <c r="T20" i="12"/>
  <c r="U20" i="12" s="1"/>
  <c r="S20" i="12"/>
  <c r="R20" i="12"/>
  <c r="T19" i="12"/>
  <c r="U19" i="12" s="1"/>
  <c r="S19" i="12"/>
  <c r="R19" i="12"/>
  <c r="U15" i="12"/>
  <c r="U14" i="12"/>
  <c r="U13" i="12"/>
  <c r="U12" i="12"/>
  <c r="U11" i="12"/>
  <c r="T20" i="11"/>
  <c r="S20" i="11"/>
  <c r="U20" i="11" s="1"/>
  <c r="R20" i="11"/>
  <c r="T19" i="11"/>
  <c r="S19" i="11"/>
  <c r="U19" i="11" s="1"/>
  <c r="R19" i="11"/>
  <c r="U15" i="11"/>
  <c r="U14" i="11"/>
  <c r="U13" i="11"/>
  <c r="U12" i="11"/>
  <c r="U11" i="11"/>
  <c r="T20" i="10"/>
  <c r="U20" i="10" s="1"/>
  <c r="S20" i="10"/>
  <c r="R20" i="10"/>
  <c r="T19" i="10"/>
  <c r="U19" i="10" s="1"/>
  <c r="S19" i="10"/>
  <c r="R19" i="10"/>
  <c r="U15" i="10"/>
  <c r="U14" i="10"/>
  <c r="U13" i="10"/>
  <c r="U12" i="10"/>
  <c r="U11" i="10"/>
  <c r="T20" i="9"/>
  <c r="S20" i="9"/>
  <c r="U20" i="9" s="1"/>
  <c r="R20" i="9"/>
  <c r="T19" i="9"/>
  <c r="S19" i="9"/>
  <c r="U19" i="9" s="1"/>
  <c r="R19" i="9"/>
  <c r="U15" i="9"/>
  <c r="U14" i="9"/>
  <c r="U13" i="9"/>
  <c r="U12" i="9"/>
  <c r="U11" i="9"/>
  <c r="T31" i="8"/>
  <c r="U31" i="8" s="1"/>
  <c r="S31" i="8"/>
  <c r="R31" i="8"/>
  <c r="T30" i="8"/>
  <c r="U30" i="8" s="1"/>
  <c r="S30" i="8"/>
  <c r="R30" i="8"/>
  <c r="U26" i="8"/>
  <c r="U25" i="8"/>
  <c r="U24" i="8"/>
  <c r="U23" i="8"/>
  <c r="U22" i="8"/>
  <c r="U21" i="8"/>
  <c r="U20" i="8"/>
  <c r="U19" i="8"/>
  <c r="U18" i="8"/>
  <c r="U17" i="8"/>
  <c r="U16" i="8"/>
  <c r="U15" i="8"/>
  <c r="U14" i="8"/>
  <c r="U13" i="8"/>
  <c r="U12" i="8"/>
  <c r="U11" i="8"/>
  <c r="T35" i="7"/>
  <c r="U35" i="7" s="1"/>
  <c r="S35" i="7"/>
  <c r="R35" i="7"/>
  <c r="T34" i="7"/>
  <c r="U34" i="7" s="1"/>
  <c r="S34" i="7"/>
  <c r="R34" i="7"/>
  <c r="U30" i="7"/>
  <c r="U29" i="7"/>
  <c r="U28" i="7"/>
  <c r="U27" i="7"/>
  <c r="U26" i="7"/>
  <c r="U25" i="7"/>
  <c r="U24" i="7"/>
  <c r="U23" i="7"/>
  <c r="U22" i="7"/>
  <c r="U21" i="7"/>
  <c r="U20" i="7"/>
  <c r="U19" i="7"/>
  <c r="U18" i="7"/>
  <c r="U17" i="7"/>
  <c r="U16" i="7"/>
  <c r="U15" i="7"/>
  <c r="U14" i="7"/>
  <c r="U13" i="7"/>
  <c r="U12" i="7"/>
  <c r="U11" i="7"/>
  <c r="T24" i="6"/>
  <c r="U24" i="6" s="1"/>
  <c r="S24" i="6"/>
  <c r="R24" i="6"/>
  <c r="T23" i="6"/>
  <c r="U23" i="6" s="1"/>
  <c r="S23" i="6"/>
  <c r="R23" i="6"/>
  <c r="U19" i="6"/>
  <c r="U18" i="6"/>
  <c r="U17" i="6"/>
  <c r="U16" i="6"/>
  <c r="U15" i="6"/>
  <c r="U14" i="6"/>
  <c r="U13" i="6"/>
  <c r="U12" i="6"/>
  <c r="U11" i="6"/>
  <c r="T24" i="5"/>
  <c r="S24" i="5"/>
  <c r="U24" i="5" s="1"/>
  <c r="R24" i="5"/>
  <c r="T23" i="5"/>
  <c r="S23" i="5"/>
  <c r="U23" i="5" s="1"/>
  <c r="R23" i="5"/>
  <c r="U19" i="5"/>
  <c r="U18" i="5"/>
  <c r="U17" i="5"/>
  <c r="U16" i="5"/>
  <c r="U15" i="5"/>
  <c r="U14" i="5"/>
  <c r="U13" i="5"/>
  <c r="U12" i="5"/>
  <c r="U11" i="5"/>
  <c r="T25" i="4"/>
  <c r="U25" i="4" s="1"/>
  <c r="S25" i="4"/>
  <c r="R25" i="4"/>
  <c r="T24" i="4"/>
  <c r="U24" i="4" s="1"/>
  <c r="S24" i="4"/>
  <c r="R24" i="4"/>
  <c r="U20" i="4"/>
  <c r="U19" i="4"/>
  <c r="U18" i="4"/>
  <c r="U17" i="4"/>
  <c r="U16" i="4"/>
  <c r="U15" i="4"/>
  <c r="U14" i="4"/>
  <c r="U13" i="4"/>
  <c r="U12" i="4"/>
  <c r="U11" i="4"/>
  <c r="T29" i="3"/>
  <c r="U29" i="3" s="1"/>
  <c r="S29" i="3"/>
  <c r="R29" i="3"/>
  <c r="T28" i="3"/>
  <c r="U28" i="3" s="1"/>
  <c r="S28" i="3"/>
  <c r="R28" i="3"/>
  <c r="U24" i="3"/>
  <c r="U23" i="3"/>
  <c r="U22" i="3"/>
  <c r="U21" i="3"/>
  <c r="U20" i="3"/>
  <c r="U19" i="3"/>
  <c r="U18" i="3"/>
  <c r="U17" i="3"/>
  <c r="U16" i="3"/>
  <c r="U15" i="3"/>
  <c r="U14" i="3"/>
  <c r="U13" i="3"/>
  <c r="U12" i="3"/>
  <c r="U11" i="3"/>
  <c r="T34" i="2"/>
  <c r="U34" i="2" s="1"/>
  <c r="S34" i="2"/>
  <c r="R34" i="2"/>
  <c r="T33" i="2"/>
  <c r="U33" i="2" s="1"/>
  <c r="S33" i="2"/>
  <c r="R33" i="2"/>
  <c r="U29" i="2"/>
  <c r="U28" i="2"/>
  <c r="U27"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<sst xmlns="http://schemas.openxmlformats.org/spreadsheetml/2006/main" count="1615" uniqueCount="584">
  <si>
    <t xml:space="preserve">    Primer Trimestre 2018</t>
  </si>
  <si>
    <t>Instituto Mexicano del Seguro Social</t>
  </si>
  <si>
    <t>Programas presupuestarios cuya MIR se incluye en el reporte</t>
  </si>
  <si>
    <t xml:space="preserve">E-001 Prevención y control de enfermedades
E-003 Atención a la Salud en el Trabajo
E-004 Investigación y desarrollo tecnológico en salud
E-006 Recaudación de ingresos obrero patronales
E-007 Servicios de guardería
E-011 Atención a la Salud
E-012 Prestaciones sociales
J-001 Pensiones en curso de pago Ley 1973
J-002 Rentas vitalicias Ley 1997
J-004 Pago de subsidios a los asegurados
K-012 Proyectos de infraestructura social de asistencia y seguridad social
K-029 Programas de adquisiciones
</t>
  </si>
  <si>
    <t xml:space="preserve">      Primer Trimestre 2018</t>
  </si>
  <si>
    <t>DATOS DEL PROGRAMA</t>
  </si>
  <si>
    <t>Programa presupuestario</t>
  </si>
  <si>
    <t>E001</t>
  </si>
  <si>
    <t>Prevención y control de enfermedades</t>
  </si>
  <si>
    <t>Ramo</t>
  </si>
  <si>
    <t>50</t>
  </si>
  <si>
    <t>Unidad responsable</t>
  </si>
  <si>
    <t>GYR-Instituto Mexicano del Seguro Social</t>
  </si>
  <si>
    <t>Enfoques transversales</t>
  </si>
  <si>
    <t>Sin Información</t>
  </si>
  <si>
    <t>Clasificación Funcional</t>
  </si>
  <si>
    <t>Finalidad</t>
  </si>
  <si>
    <t>2 - Desarrollo Social</t>
  </si>
  <si>
    <t>Función</t>
  </si>
  <si>
    <t>3 - Salud</t>
  </si>
  <si>
    <t>Subfunción</t>
  </si>
  <si>
    <t>2 - Prestación de Servicios de Salud a la Persona</t>
  </si>
  <si>
    <t>Actividad Institucional</t>
  </si>
  <si>
    <t>3 - Eficacia en la atención médica preventiva</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</si>
  <si>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</si>
  <si>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</si>
  <si>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</si>
  <si>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</si>
  <si>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</si>
  <si>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</si>
  <si>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</si>
  <si>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</si>
  <si>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</si>
  <si>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</si>
  <si>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</si>
  <si>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</si>
  <si>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</si>
  <si>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</si>
  <si>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</si>
  <si>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 consolidar las acciones de protección, promoción de la salud y prevención de enfermedades  mediante  intervenciones que mejoren la salud y la calidad de vida de los derechohabientes.</t>
  </si>
  <si>
    <r>
      <t>Tasa de mortalidad por cáncer cérvico uterino</t>
    </r>
    <r>
      <rPr>
        <i/>
        <sz val="10"/>
        <color indexed="30"/>
        <rFont val="Soberana Sans"/>
      </rPr>
      <t xml:space="preserve">
</t>
    </r>
  </si>
  <si>
    <t>(Número de defunciones por cáncer cérvico uterino ocurridas en mujeres derechohabientes de 25 años y más / Población de mujeres derechohabientes de 25 y más años de edad adscritas a médico familiar) X 100 000</t>
  </si>
  <si>
    <t>Tasa</t>
  </si>
  <si>
    <t>Estratégico-Eficacia-Anual</t>
  </si>
  <si>
    <t>N/A</t>
  </si>
  <si>
    <t/>
  </si>
  <si>
    <r>
      <t>Prevalencia de obesidad en niños de 5 a 11 años de edad</t>
    </r>
    <r>
      <rPr>
        <i/>
        <sz val="10"/>
        <color indexed="30"/>
        <rFont val="Soberana Sans"/>
      </rPr>
      <t xml:space="preserve">
Indicador Seleccionado</t>
    </r>
  </si>
  <si>
    <t>Resulta de la división del número de niños entre 5 y 11 años de edad, cuyo índice de masa corporal se ubica a dos o más desviaciones estándar del valor medio indicado en las tablas de referencia de la Organización Mundial de la Salud, entre el total de niños del mismo grupo etario, multiplicado por 100</t>
  </si>
  <si>
    <t>Porcentaje</t>
  </si>
  <si>
    <t>Estratégico-Eficacia-Bienal</t>
  </si>
  <si>
    <r>
      <t>Tasa de mortalidad por cáncer de mama</t>
    </r>
    <r>
      <rPr>
        <i/>
        <sz val="10"/>
        <color indexed="30"/>
        <rFont val="Soberana Sans"/>
      </rPr>
      <t xml:space="preserve">
</t>
    </r>
  </si>
  <si>
    <t>(Número de defunciones por cáncer de mama ocurridas en mujeres derechohabientes de 25 años y más / Población de mujeres derechohabientes de 25 y más años de edad adscritas a médico familiar) X 100 000</t>
  </si>
  <si>
    <r>
      <t>Porcentaje de cambio entre el año base y el año de registro de casos nuevos confirmados de VIH por transmisión vertical</t>
    </r>
    <r>
      <rPr>
        <i/>
        <sz val="10"/>
        <color indexed="30"/>
        <rFont val="Soberana Sans"/>
      </rPr>
      <t xml:space="preserve">
Indicador Seleccionado</t>
    </r>
  </si>
  <si>
    <t>Resulta de restarle al 100% el cociente del número de casos nuevos en recién nacidos diagnosticados con VIH del Sistema Especial de Vigilancia Epidemiológica de VIH/SIDA al 30 de junio de cada año entre el número de casos nuevos en recién nacidos diagnosticados con VIH del Sistema Especial de Vigilancia Epidemiológica de VIH/SIDA al 30 de junio de 2013.  Se consideran los casos nuevos de transmisión vertical (vía perinatal) diagnosticados con VIH en todas las instituciones del sector salud</t>
  </si>
  <si>
    <r>
      <t>Tasa de mortalidad por tuberculosis pulmonar</t>
    </r>
    <r>
      <rPr>
        <i/>
        <sz val="10"/>
        <color indexed="30"/>
        <rFont val="Soberana Sans"/>
      </rPr>
      <t xml:space="preserve">
</t>
    </r>
  </si>
  <si>
    <t>(Número de defunciones por tuberculosis pulmonar ocurridas en la población derechohabiente de 15 años y más / Población adscrita de 15 años y más adscrita a médico familiar) x 100,000</t>
  </si>
  <si>
    <r>
      <t>Esperanza de Vida al Nacer</t>
    </r>
    <r>
      <rPr>
        <i/>
        <sz val="10"/>
        <color indexed="30"/>
        <rFont val="Soberana Sans"/>
      </rPr>
      <t xml:space="preserve">
</t>
    </r>
  </si>
  <si>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</si>
  <si>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</si>
  <si>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r>
      <t>Porcentaje de cobertura de vacunación con esquema completo en menores de un año</t>
    </r>
    <r>
      <rPr>
        <i/>
        <sz val="10"/>
        <color indexed="30"/>
        <rFont val="Soberana Sans"/>
      </rPr>
      <t xml:space="preserve">
Indicador Seleccionado</t>
    </r>
  </si>
  <si>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</si>
  <si>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Gestión-Eficacia-Anual</t>
  </si>
  <si>
    <t>Propósito</t>
  </si>
  <si>
    <t>En la población derechohabiente del IMSS se reducen la mortalidad por enfermedades prevenibles y los embarazos de alto riesgo.</t>
  </si>
  <si>
    <r>
      <t>Prevalencia de obesidad en niños de 5 a 9 años de edad</t>
    </r>
    <r>
      <rPr>
        <i/>
        <sz val="10"/>
        <color indexed="30"/>
        <rFont val="Soberana Sans"/>
      </rPr>
      <t xml:space="preserve">
</t>
    </r>
  </si>
  <si>
    <t>(NÚMERO DE NIÑOS DERECHOHABIENTES DE 5 A 9 AÑOS CON OBESIDAD EN EL MES INFORMADO /POBLACIÓN DE NIÑOS DE 5 A 9 AÑOS ADSCRITOS A MÉDICO FAMILIAR CON REGISTRO DE PESO Y TALLA EN EL MES INFORMADO)* 100</t>
  </si>
  <si>
    <r>
      <t>Cobertura de atención integral PREVENIMSS</t>
    </r>
    <r>
      <rPr>
        <i/>
        <sz val="10"/>
        <color indexed="30"/>
        <rFont val="Soberana Sans"/>
      </rPr>
      <t xml:space="preserve">
</t>
    </r>
  </si>
  <si>
    <t>(Número de derechohabientes que recibieron atención preventiva integrada  en los últimos 12 meses / Población derechohabiente adscrita a médico familiar)* 100</t>
  </si>
  <si>
    <r>
      <t>Proporción de adolescentes embarazadas</t>
    </r>
    <r>
      <rPr>
        <i/>
        <sz val="10"/>
        <color indexed="30"/>
        <rFont val="Soberana Sans"/>
      </rPr>
      <t xml:space="preserve">
</t>
    </r>
  </si>
  <si>
    <t>(Número de embarazadas adolescentes (de 10-19 años de edad) que acuden por 1a vez a la vigilancia prenatal / Total de embarazadas de 1er vez en vigilancia prenatal) * 100</t>
  </si>
  <si>
    <t>Proporción</t>
  </si>
  <si>
    <t>Componente</t>
  </si>
  <si>
    <t>A Acciones preventivas proporcionadas</t>
  </si>
  <si>
    <r>
      <t>Cobertura de detección de cáncer cérvico uterino a través de citología cervical en mujeres de 25 a 64 años</t>
    </r>
    <r>
      <rPr>
        <i/>
        <sz val="10"/>
        <color indexed="30"/>
        <rFont val="Soberana Sans"/>
      </rPr>
      <t xml:space="preserve">
</t>
    </r>
  </si>
  <si>
    <t>(Número de mujeres de 25 a 64 años con citología cervical de primera vez acumuladas al mes del reporte/ Población de mujeres de 25 a 64 años de edad adscritas a médico familiar menos 11 por ciento (estimación de mujeres sin útero, ENCOPREVENIMSS 2006)) X 100</t>
  </si>
  <si>
    <t>Estratégico-Eficacia-Semestral</t>
  </si>
  <si>
    <r>
      <t>Cobertura de detección de primera vez de diabetes mellitus en población derechohabiente de 20 años y más</t>
    </r>
    <r>
      <rPr>
        <i/>
        <sz val="10"/>
        <color indexed="30"/>
        <rFont val="Soberana Sans"/>
      </rPr>
      <t xml:space="preserve">
</t>
    </r>
  </si>
  <si>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</si>
  <si>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r>
      <t>Cobertura con esquemas completos de vacunación en niños de un año de edad.</t>
    </r>
    <r>
      <rPr>
        <i/>
        <sz val="10"/>
        <color indexed="30"/>
        <rFont val="Soberana Sans"/>
      </rPr>
      <t xml:space="preserve">
</t>
    </r>
  </si>
  <si>
    <t>(Número de niños de un año de edad que tienen completo su esquema de vacunación) /(Población de niños de un año de edad bajo responsabilidad institucional) X 100</t>
  </si>
  <si>
    <r>
      <t>Cobertura de detección de cáncer de mama por mastografía en mujeres de 50 a 69 años</t>
    </r>
    <r>
      <rPr>
        <i/>
        <sz val="10"/>
        <color indexed="30"/>
        <rFont val="Soberana Sans"/>
      </rPr>
      <t xml:space="preserve">
</t>
    </r>
  </si>
  <si>
    <t>(Número de mujeres de 50 a 69 años con mastografía al mes del reporte)/(Población de mujeres de 50 a 69 años de edad adscritas a médico familiar)*100</t>
  </si>
  <si>
    <r>
      <t>Cobertura de detección de hipertensión arterial en población derechohabiente de 20 años y más</t>
    </r>
    <r>
      <rPr>
        <i/>
        <sz val="10"/>
        <color indexed="30"/>
        <rFont val="Soberana Sans"/>
      </rPr>
      <t xml:space="preserve">
</t>
    </r>
  </si>
  <si>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</si>
  <si>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B Acciones de planificación familiar otorgadas</t>
  </si>
  <si>
    <r>
      <t>Logro de aceptantes en relación con la meta programada en consulta externa de medicina familiar</t>
    </r>
    <r>
      <rPr>
        <i/>
        <sz val="10"/>
        <color indexed="30"/>
        <rFont val="Soberana Sans"/>
      </rPr>
      <t xml:space="preserve">
</t>
    </r>
  </si>
  <si>
    <t>(Aceptantes de métodos anticonceptivos en consulta externa / Meta de aceptantes de métodos anticonceptivos en consulta externa) * 100</t>
  </si>
  <si>
    <t>Actividad</t>
  </si>
  <si>
    <t>A 1 Promoción en la población en edad fértil, de las ventajas de adoptar un método anticonceptivo de acuerdo a su condición de salud y sus factores de riesgoreproductivo.</t>
  </si>
  <si>
    <r>
      <t>Porcentaje de entrevistas de consejería anticonceptiva</t>
    </r>
    <r>
      <rPr>
        <i/>
        <sz val="10"/>
        <color indexed="30"/>
        <rFont val="Soberana Sans"/>
      </rPr>
      <t xml:space="preserve">
</t>
    </r>
  </si>
  <si>
    <t>(N° de entrevistas de consejería anticonceptiva realizadas / N° de entrevistas de consejería anticonceptiva programadas)*100</t>
  </si>
  <si>
    <t>Gestión-Eficacia-Trimestral</t>
  </si>
  <si>
    <t>A 2 Medición de peso y talla en derechohabientes adscritos a médico familiar</t>
  </si>
  <si>
    <r>
      <t>Porcentaje de medición de peso y talla en población derechohabiente</t>
    </r>
    <r>
      <rPr>
        <i/>
        <sz val="10"/>
        <color indexed="30"/>
        <rFont val="Soberana Sans"/>
      </rPr>
      <t xml:space="preserve">
</t>
    </r>
  </si>
  <si>
    <t>(Número de derechohabientes con medición de peso y talla acumulado al mes evaluado /Total de derechohabientes adscritos a médico familiar)* 100</t>
  </si>
  <si>
    <t>A 3 Otorgamiento de atenciones preventivas integradas por grupo de edad.</t>
  </si>
  <si>
    <r>
      <t xml:space="preserve">Porcentaje de Atención Preventiva Integrada </t>
    </r>
    <r>
      <rPr>
        <i/>
        <sz val="10"/>
        <color indexed="30"/>
        <rFont val="Soberana Sans"/>
      </rPr>
      <t xml:space="preserve">
</t>
    </r>
  </si>
  <si>
    <t>(Número de Atenciones Preventivas Integradas otorgadas en el mes evaluado) /(Total de atenciones otorgadas por el personal de enfermería en el mes evaluado) * 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</si>
  <si>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</si>
  <si>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</si>
  <si>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</si>
  <si>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</si>
  <si>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</si>
  <si>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</si>
  <si>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</si>
  <si>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</si>
  <si>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</si>
  <si>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</si>
  <si>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cuatrimestral, semestral, anual o con un periodo mayor de tiempo. 
Estos indicadores no registraron información ni justificación, debido a que lo harán de conformidad con la frecuencia de medición con la que programaron sus metas. </t>
  </si>
  <si>
    <r>
      <t xml:space="preserve">Tasa de mortalidad por cáncer cérvico uterino
</t>
    </r>
    <r>
      <rPr>
        <sz val="10"/>
        <rFont val="Soberana Sans"/>
        <family val="2"/>
      </rPr>
      <t>Sin Información,Sin Justificación</t>
    </r>
  </si>
  <si>
    <r>
      <t xml:space="preserve">Prevalencia de obesidad en niños de 5 a 11 años de edad
</t>
    </r>
    <r>
      <rPr>
        <sz val="10"/>
        <rFont val="Soberana Sans"/>
        <family val="2"/>
      </rPr>
      <t>Sin Información,Sin Justificación</t>
    </r>
  </si>
  <si>
    <r>
      <t xml:space="preserve">Tasa de mortalidad por cáncer de mama
</t>
    </r>
    <r>
      <rPr>
        <sz val="10"/>
        <rFont val="Soberana Sans"/>
        <family val="2"/>
      </rPr>
      <t>Sin Información,Sin Justificación</t>
    </r>
  </si>
  <si>
    <r>
      <t xml:space="preserve">Porcentaje de cambio entre el año base y el año de registro de casos nuevos confirmados de VIH por transmisión vertical
</t>
    </r>
    <r>
      <rPr>
        <sz val="10"/>
        <rFont val="Soberana Sans"/>
        <family val="2"/>
      </rPr>
      <t>Sin Información,Sin Justificación</t>
    </r>
  </si>
  <si>
    <r>
      <t xml:space="preserve">Tasa de mortalidad por tuberculosis pulmonar
</t>
    </r>
    <r>
      <rPr>
        <sz val="10"/>
        <rFont val="Soberana Sans"/>
        <family val="2"/>
      </rPr>
      <t>Sin Información,Sin Justificación</t>
    </r>
  </si>
  <si>
    <r>
      <t xml:space="preserve">Esperanza de Vida al Nacer
</t>
    </r>
    <r>
      <rPr>
        <sz val="10"/>
        <rFont val="Soberana Sans"/>
        <family val="2"/>
      </rPr>
      <t>Sin Información,Sin Justificación</t>
    </r>
  </si>
  <si>
    <r>
      <t xml:space="preserve">Porcentaje de cobertura de vacunación con esquema completo en menores de un año
</t>
    </r>
    <r>
      <rPr>
        <sz val="10"/>
        <rFont val="Soberana Sans"/>
        <family val="2"/>
      </rPr>
      <t>Sin Información,Sin Justificación</t>
    </r>
  </si>
  <si>
    <r>
      <t xml:space="preserve">Prevalencia de obesidad en niños de 5 a 9 años de edad
</t>
    </r>
    <r>
      <rPr>
        <sz val="10"/>
        <rFont val="Soberana Sans"/>
        <family val="2"/>
      </rPr>
      <t>Sin Información,Sin Justificación</t>
    </r>
  </si>
  <si>
    <r>
      <t xml:space="preserve">Cobertura de atención integral PREVENIMSS
</t>
    </r>
    <r>
      <rPr>
        <sz val="10"/>
        <rFont val="Soberana Sans"/>
        <family val="2"/>
      </rPr>
      <t>Sin Información,Sin Justificación</t>
    </r>
  </si>
  <si>
    <r>
      <t xml:space="preserve">Proporción de adolescentes embarazadas
</t>
    </r>
    <r>
      <rPr>
        <sz val="10"/>
        <rFont val="Soberana Sans"/>
        <family val="2"/>
      </rPr>
      <t>Sin Información,Sin Justificación</t>
    </r>
  </si>
  <si>
    <r>
      <t xml:space="preserve">Cobertura de detección de cáncer cérvico uterino a través de citología cervical en mujeres de 25 a 64 años
</t>
    </r>
    <r>
      <rPr>
        <sz val="10"/>
        <rFont val="Soberana Sans"/>
        <family val="2"/>
      </rPr>
      <t>Sin Información,Sin Justificación</t>
    </r>
  </si>
  <si>
    <r>
      <t xml:space="preserve">Cobertura de detección de primera vez de diabetes mellitus en población derechohabiente de 20 años y más
</t>
    </r>
    <r>
      <rPr>
        <sz val="10"/>
        <rFont val="Soberana Sans"/>
        <family val="2"/>
      </rPr>
      <t>Sin Información,Sin Justificación</t>
    </r>
  </si>
  <si>
    <r>
      <t xml:space="preserve">Cobertura con esquemas completos de vacunación en niños de un año de edad.
</t>
    </r>
    <r>
      <rPr>
        <sz val="10"/>
        <rFont val="Soberana Sans"/>
        <family val="2"/>
      </rPr>
      <t>Sin Información,Sin Justificación</t>
    </r>
  </si>
  <si>
    <r>
      <t xml:space="preserve">Cobertura de detección de cáncer de mama por mastografía en mujeres de 50 a 69 años
</t>
    </r>
    <r>
      <rPr>
        <sz val="10"/>
        <rFont val="Soberana Sans"/>
        <family val="2"/>
      </rPr>
      <t>Sin Información,Sin Justificación</t>
    </r>
  </si>
  <si>
    <r>
      <t xml:space="preserve">Cobertura de detección de hipertensión arterial en población derechohabiente de 20 años y más
</t>
    </r>
    <r>
      <rPr>
        <sz val="10"/>
        <rFont val="Soberana Sans"/>
        <family val="2"/>
      </rPr>
      <t>Sin Información,Sin Justificación</t>
    </r>
  </si>
  <si>
    <r>
      <t xml:space="preserve">Logro de aceptantes en relación con la meta programada en consulta externa de medicina familiar
</t>
    </r>
    <r>
      <rPr>
        <sz val="10"/>
        <rFont val="Soberana Sans"/>
        <family val="2"/>
      </rPr>
      <t>Sin Información,Sin Justificación</t>
    </r>
  </si>
  <si>
    <r>
      <t xml:space="preserve">Porcentaje de entrevistas de consejería anticonceptiva
</t>
    </r>
    <r>
      <rPr>
        <sz val="10"/>
        <rFont val="Soberana Sans"/>
        <family val="2"/>
      </rPr>
      <t xml:space="preserve"> Causa : Información  estimada al mes de marzo de 2018. Las acciones de comunicación educativa especificamente consejería en planificación familiar, se dirijen a la población en etapa reproductiva, tanto mujeres como hombres, con el fin de dar a conocer los factores de riesgo, la gama de metodología anticonceptiva disponible en el Instituto, y favorecer la selección en forma libre, voluntaria e informada un método, conforme a sus necesidades personales, expectativas reproductivas y condición de salud.  Efecto: La aceptación de un método anticonceptivo en forma informada, favorece la continuidad en el uso del mismo, a fin de planear un embarazo en las mejores condiciones de salud. Otros Motivos:El  mayor porcentaje observado al primer trimestre de 2018, del indicador  Porcentaje de Entrevistas de Consejería Anticonceptiva en el programa de planificación familiar, obedece a un fortalecimiento del programa en el grupo de mujeres en edad fértil con mujeres con enfermedades crónico degenerativas, así como en sus parejas</t>
    </r>
  </si>
  <si>
    <r>
      <t xml:space="preserve">Porcentaje de medición de peso y talla en población derechohabiente
</t>
    </r>
    <r>
      <rPr>
        <sz val="10"/>
        <rFont val="Soberana Sans"/>
        <family val="2"/>
      </rPr>
      <t xml:space="preserve"> Causa : Información estimada al mes de marzo de 2018     El logro estimado a marzo de 2018 fue  de 29.7% cifra ligeramente  inferior a la meta establecida (30.0%).     Los factores que afectaron el logro de la meta fueron: La baja afluencia en el mes de marzo de derechobientes a los módulos PrevenIMSS, debido a las vacaciones de semana santa. Efecto: El logro alcanzado permitio que a 14,092,447 derechohabientes se les evaluará su estado nutricional y se les otorgaran  recomendaciones relacionadas primordialmente con actividad física y cambios en los hábitos de alimentación, para revertir el problema de sobrepeso/obesidad. Otros Motivos:</t>
    </r>
  </si>
  <si>
    <r>
      <t xml:space="preserve">Porcentaje de Atención Preventiva Integrada 
</t>
    </r>
    <r>
      <rPr>
        <sz val="10"/>
        <rFont val="Soberana Sans"/>
        <family val="2"/>
      </rPr>
      <t xml:space="preserve"> Causa : Información estimada al mes de marzo de 2018 El logro estimado a marzo de 2018 fue  de 94.9% cifra cercana a la meta establecida (95.0%). Los factores que contribuyeron al logro de la meta fueron: Contar con los insumos PrevenIMSS oportunamente, la derivación de los derechohabientes que acuden a la Unidad de Medicina Familiar por cualquier motivo a los módulos PrevenIMSS y la implementación de la estrategia ChKTE en línea. Efecto: El  alcanzar la meta permitió que de cada 100 derechohabientes que acudieron a los módulos PREVENIMSS se otorgara a 95 de ellos el paquete completo de acciones preventivas y de promoción de la salud que les corresponde de acuerdo a su grupo de edad y sexo.  Otros Motivos:</t>
    </r>
  </si>
  <si>
    <t>E003</t>
  </si>
  <si>
    <t>Atención a la Salud en el Trabajo</t>
  </si>
  <si>
    <t>4 - Oportunidad en la atención curativa, quirúrgica, hospitalaria y de rehabilitación</t>
  </si>
  <si>
    <t>Contribuir a reducir los riesgos que afectan la salud de la población en cualquier actividad de su vida mediante el otorgamiento de los servicios de Salud en el Trabajo.</t>
  </si>
  <si>
    <t>AÑOS</t>
  </si>
  <si>
    <r>
      <t>Tasa de mortalidad por riesgos de trabajo</t>
    </r>
    <r>
      <rPr>
        <i/>
        <sz val="10"/>
        <color indexed="30"/>
        <rFont val="Soberana Sans"/>
      </rPr>
      <t xml:space="preserve">
Indicador Seleccionado</t>
    </r>
  </si>
  <si>
    <t>Resulta de la división del número de defunciones por accidentes y enfermedades de trabajo entre el total de trabajadores asegurados en el Seguro de Riesgos de Trabajo multiplicado por 10,000; anualmente</t>
  </si>
  <si>
    <t>tasa</t>
  </si>
  <si>
    <t>Los Trabajadores asegurados acuden a los servicios de Salud en el Trabajo para tener acceso a las prestaciones que por ley les corresponden en el ramo de Riesgos de Trabajo e Invalidez y Vida.</t>
  </si>
  <si>
    <r>
      <t>Porcentaje de Cobertura de los servicios de Salud en el Trabajo</t>
    </r>
    <r>
      <rPr>
        <i/>
        <sz val="10"/>
        <color indexed="30"/>
        <rFont val="Soberana Sans"/>
      </rPr>
      <t xml:space="preserve">
</t>
    </r>
  </si>
  <si>
    <t>(Número de trabajadores que recibieron atención en materia de prevención y atención de los riesgos de trabajo, determinación del estado de Invalidez y reincorporación laboral en el periodo de reporte (t)  / Promedio de trabajadores asegurados para riesgos de trabajo e invalidez en el periodo de reporte (t))  X 100</t>
  </si>
  <si>
    <t>Estratégico-Eficacia-Trimestral</t>
  </si>
  <si>
    <t>A Dictamenes de incapacidad permanente o defunción autorizados oportunamente</t>
  </si>
  <si>
    <r>
      <t>Porcentaje de dictámenes de incapacidad permanente y de defunción autorizados oportunamente</t>
    </r>
    <r>
      <rPr>
        <i/>
        <sz val="10"/>
        <color indexed="30"/>
        <rFont val="Soberana Sans"/>
      </rPr>
      <t xml:space="preserve">
</t>
    </r>
  </si>
  <si>
    <t>(Número de dictámenes de incapacidad permanente y defunción autorizados en 15 días o menos por salud en el trabajo, según delegación origen, emitidos en el periodo de reporte (t) / el número de dictámenes de incapacidad permanente y defunción autorizados por los servicios de salud en el trabajo según delegación origen emitidos en el periodo de reporte(t)) X 100</t>
  </si>
  <si>
    <t>Estratégico-Calidad-Trimestral</t>
  </si>
  <si>
    <t>B Dictamenes de Invalidez autorizados oportunamente</t>
  </si>
  <si>
    <r>
      <t>Porcentaje de dictámenes de invalidez autorizados oportunamente</t>
    </r>
    <r>
      <rPr>
        <i/>
        <sz val="10"/>
        <color indexed="30"/>
        <rFont val="Soberana Sans"/>
      </rPr>
      <t xml:space="preserve">
</t>
    </r>
  </si>
  <si>
    <t>(Número de dictámenes de invalidez autorizados en 15 días o menos por salud en el trabajo, según delegación origen, emitidos en el periodo de reporte (t) / el número de dictámenes de invalidez autorizados por los servicios de salud en el trabajo según delegación origen emitidos en el periodo de reporte(t)) X 100</t>
  </si>
  <si>
    <t>C Acciones eficientes de Prevención de Accidentes de trabajo, en las empresas afiliadas, mediante estudios y programas de Seguridad en el Trabajo realizados</t>
  </si>
  <si>
    <r>
      <t>Porcentaje de variación de la tasa de accidentes de trabajo en empresas intervenidas con programas preventivos de Seguridad en el Trabajo</t>
    </r>
    <r>
      <rPr>
        <i/>
        <sz val="10"/>
        <color indexed="30"/>
        <rFont val="Soberana Sans"/>
      </rPr>
      <t xml:space="preserve">
</t>
    </r>
  </si>
  <si>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</si>
  <si>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D Detección del nivel de satisfacción de las empresas afiliadas intervenidas con estudios y programas preventivos de Seguridad en el Trabajo</t>
  </si>
  <si>
    <r>
      <t>Porcentaje de Satisfacción de Empresas Usuarias de los Servicios de Seguridad en el Trabajo</t>
    </r>
    <r>
      <rPr>
        <i/>
        <sz val="10"/>
        <color indexed="30"/>
        <rFont val="Soberana Sans"/>
      </rPr>
      <t xml:space="preserve">
</t>
    </r>
  </si>
  <si>
    <t>(Total de encuestas recibidas con calificación igual o superior al 80 por ciento, de empresas con seguimientos de programa preventivo de seguridad en el trabajo (t) / Total de encuestas recibidas de empresas con seguimientos de programa preventivo de seguridad en el trabajo (t)) X 100</t>
  </si>
  <si>
    <t>Estratégico-Calidad-Semestral</t>
  </si>
  <si>
    <t>E Accidentes y enfermedades de trabajo dictaminados</t>
  </si>
  <si>
    <r>
      <t>Cumplimiento promedio de las acciones en calificación de accidentes y enfermedades de trabajo y dictaminación de incapacidades permanentes y defunciones.</t>
    </r>
    <r>
      <rPr>
        <i/>
        <sz val="10"/>
        <color indexed="30"/>
        <rFont val="Soberana Sans"/>
      </rPr>
      <t xml:space="preserve">
</t>
    </r>
  </si>
  <si>
    <t>(Porcentaje de cumplimiento de la calificación accidentes de trabajo Acumulado al trimestre del reporte (t) + Porcentaje de cumplimiento de la calificación de accidentes en trayecto acumulado al trimestre del reporte (t) + Porcentaje de cumplimiento de la calificación de enfermedades de trabajo acumulado al trimestre del reporte (t) + Porcentaje de cumplimiento de la dictaminación de incapacidades permanentes y defunciones acumulado al trimestre del reporte (t))/4</t>
  </si>
  <si>
    <t>A 1 Elaboración y autorización de Dictámenes de Incapacidad Permanente o Defunción a través de Módulo Electrónico de Salud en el Trabajo</t>
  </si>
  <si>
    <r>
      <t xml:space="preserve"> Porcentaje de Dictámenes de incapacidad permanente y defunción autorizados a través del Módulo Electrónico de Salud en el Trabajo</t>
    </r>
    <r>
      <rPr>
        <i/>
        <sz val="10"/>
        <color indexed="30"/>
        <rFont val="Soberana Sans"/>
      </rPr>
      <t xml:space="preserve">
</t>
    </r>
  </si>
  <si>
    <t>(Número de dictámenes de incapacidad permanente y defunción autorizados en el módulo electrónico de salud en el trabajo acumulados al periodo de reporte (t)/  Número de dictámenes de incapacidad permanente y de defunción autorizados al periodo de reporte (t)) x 100</t>
  </si>
  <si>
    <t>B 2 Elaboración y autorización de Dictámenes de Invalidez a través de Módulo Electrónico de Salud en el Trabajo</t>
  </si>
  <si>
    <r>
      <t>Porcentaje de Dictamenes de Invalidez  autorizados a través del Módulo Electrónico de Salud en el Trabajo</t>
    </r>
    <r>
      <rPr>
        <i/>
        <sz val="10"/>
        <color indexed="30"/>
        <rFont val="Soberana Sans"/>
      </rPr>
      <t xml:space="preserve">
</t>
    </r>
  </si>
  <si>
    <t>(Número de dictámenes de invalidez autorizados a través del Módulo Electrónico de Salud en el Trabajo al periodo de reporte (t) / Total de dictámenes de invalidez autorizados en el periodo de reporte (t)) x 100</t>
  </si>
  <si>
    <t>C 3 Cursos de capacitación en seguridad y salud en el trabajo dirigidos a las empresas afiliadas al Instituto Mexicano del Seguro Social</t>
  </si>
  <si>
    <r>
      <t>Porcentaje de cumplimiento en la capacitación de trabajadores en seguridad y salud en el trabajo</t>
    </r>
    <r>
      <rPr>
        <i/>
        <sz val="10"/>
        <color indexed="30"/>
        <rFont val="Soberana Sans"/>
      </rPr>
      <t xml:space="preserve">
</t>
    </r>
  </si>
  <si>
    <t>(Número de trabajadores de empresas afiliadas y centros laborales del IMSS capacitados en seguridad y salud en el trabajo (t) / Número de trabajadores de empresas afiliadas y centros laborales del IMSS a capacitar en seguridad y salud en el trabajo (t)) x 100.</t>
  </si>
  <si>
    <t>C 4 Elaboración de Estudios y Programas Preventivos de Seguridad en el Trabajo, en empresas afiliadas, para la disminución de accidentes de trabajo</t>
  </si>
  <si>
    <r>
      <t>Porcentaje de cumplimiento en la elaboración de estudios y programas preventivos de seguridad en el trabajo</t>
    </r>
    <r>
      <rPr>
        <i/>
        <sz val="10"/>
        <color indexed="30"/>
        <rFont val="Soberana Sans"/>
      </rPr>
      <t xml:space="preserve">
</t>
    </r>
  </si>
  <si>
    <t>(Número de estudios y programas preventivos de seguridad en el trabajo realizados en empresas afiliadas y centros laborales del Instituto Mexicano del Seguro Social / Número de estudios y programas preventivos de seguridad en el trabajo programados en empresas afiliadas y centros laborales del Instituto Mexicano del Seguro Social) x 100</t>
  </si>
  <si>
    <t>D 5 Seguimientos a las empresas intervenidas con estudios y programas preventivos de seguridad en el trabajo</t>
  </si>
  <si>
    <r>
      <t>Porcentaje de seguimientos realizados en empresas con programas preventivos de seguridad en el trabajo.</t>
    </r>
    <r>
      <rPr>
        <i/>
        <sz val="10"/>
        <color indexed="30"/>
        <rFont val="Soberana Sans"/>
      </rPr>
      <t xml:space="preserve">
</t>
    </r>
  </si>
  <si>
    <t>(Total de seguimientos realizados a empresas con programas preventivos de seguridad en el trabajo (t) / Total de seguimientos programados a empresas con programas preventivos de seguridad en el trabajo (t)) x 100.</t>
  </si>
  <si>
    <t>E 6 Calificación de los probables riesgos de trabajo</t>
  </si>
  <si>
    <r>
      <t>Porcentaje de Calificación de los probables riesgos de trabajo</t>
    </r>
    <r>
      <rPr>
        <i/>
        <sz val="10"/>
        <color indexed="30"/>
        <rFont val="Soberana Sans"/>
      </rPr>
      <t xml:space="preserve">
</t>
    </r>
  </si>
  <si>
    <t>Número de riesgos de trabajo calificados y terminados en el periodo de reporte (t) / (Número de riesgos de trabajo calificados y terminados en el periodo de reporte (t) + Número de probables riesgos de trabajo pendientes de calificar en el periodo de reporte(t)) x 100</t>
  </si>
  <si>
    <r>
      <t xml:space="preserve">Tasa de mortalidad por riesgos de trabajo
</t>
    </r>
    <r>
      <rPr>
        <sz val="10"/>
        <rFont val="Soberana Sans"/>
        <family val="2"/>
      </rPr>
      <t>Sin Información,Sin Justificación</t>
    </r>
  </si>
  <si>
    <r>
      <t xml:space="preserve">Porcentaje de Cobertura de los servicios de Salud en el Trabajo
</t>
    </r>
    <r>
      <rPr>
        <sz val="10"/>
        <rFont val="Soberana Sans"/>
        <family val="2"/>
      </rPr>
      <t xml:space="preserve"> Causa : Las diversas áreas que conforman Salud en el Trabajo atendieron las solicitudes de servicios por parte del trabajador asegurado o la empresa, sin embargo, existen actividades que se atenderán en forma posterior, ya sea porque el trabajador no se ha presentado para seguir el trámite de dictaminación de riesgos de trabajo o porque se están llevando las gestiones para  la aceptación de  plan de trabajo empresa-Instituto para la  prevención de riesgos. Efecto: 0.51 puntos por abajo de la meta. Otros Motivos:</t>
    </r>
  </si>
  <si>
    <r>
      <t xml:space="preserve">Porcentaje de dictámenes de incapacidad permanente y de defunción autorizados oportunamente
</t>
    </r>
    <r>
      <rPr>
        <sz val="10"/>
        <rFont val="Soberana Sans"/>
        <family val="2"/>
      </rPr>
      <t xml:space="preserve"> Causa : A partir del 4to trimestre de 2017 se modificó la forma de supervisar la información, siendo aún más estricta al revisar los casos de forma nominal, lo que permitirá que las Delegaciones clasifiquen correctamente  si hubo oportunidad en la autorización de los casos. Efecto: 3.86 puntos por debajo de la meta. El resultado permitirá a las delegaciones visualizar el área de oportunidad para mejorar en el proceso de autorización de dictámenes. Otros Motivos:</t>
    </r>
  </si>
  <si>
    <r>
      <t xml:space="preserve">Porcentaje de dictámenes de invalidez autorizados oportunamente
</t>
    </r>
    <r>
      <rPr>
        <sz val="10"/>
        <rFont val="Soberana Sans"/>
        <family val="2"/>
      </rPr>
      <t xml:space="preserve"> Causa : A partir del 4to trimestre de 2017 se modificó la forma de supervisar la información, siendo aún más estricta al revisar los casos de forma nominal, lo que permitirá que las Delegaciones clasifiquen correctamente  si hubo oportunidad en la autorización de los casos. Efecto: 7.01 puntos por debajo de la meta. El resultado permitirá a las delegaciones visualizar el área de oportunidad  para mejorar en el proceso de autorización de dictámenes. Otros Motivos:</t>
    </r>
  </si>
  <si>
    <r>
      <t xml:space="preserve">Porcentaje de variación de la tasa de accidentes de trabajo en empresas intervenidas con programas preventivos de Seguridad en el Trabajo
</t>
    </r>
    <r>
      <rPr>
        <sz val="10"/>
        <rFont val="Soberana Sans"/>
        <family val="2"/>
      </rPr>
      <t xml:space="preserve"> Causa : Ha existido mayor compromiso de los patrones a los que se les han realizado Programas Preventivos de Seguridad en el Trabajo, por la implementación de las medidas de prevención de accidentes de trabajo, que les fueron proporcionadas por los Especialistas del IMSS a través de estos instrumentos de prevención. Efecto: Se registran 3.37 puntos porcentuales por arriba de lo planeado en el periodo. Otros Motivos:</t>
    </r>
  </si>
  <si>
    <r>
      <t xml:space="preserve">Porcentaje de Satisfacción de Empresas Usuarias de los Servicios de Seguridad en el Trabajo
</t>
    </r>
    <r>
      <rPr>
        <sz val="10"/>
        <rFont val="Soberana Sans"/>
        <family val="2"/>
      </rPr>
      <t>Sin Información,Sin Justificación</t>
    </r>
  </si>
  <si>
    <r>
      <t xml:space="preserve">Cumplimiento promedio de las acciones en calificación de accidentes y enfermedades de trabajo y dictaminación de incapacidades permanentes y defunciones.
</t>
    </r>
    <r>
      <rPr>
        <sz val="10"/>
        <rFont val="Soberana Sans"/>
        <family val="2"/>
      </rPr>
      <t xml:space="preserve"> Causa : En los servicios de Salud en el Trabajo se ha tenido oportunidad de otorgar el servicio solicitado por los trabajadores. Efecto: 0.5 puntos por arriba de la meta. Otros Motivos:</t>
    </r>
  </si>
  <si>
    <r>
      <t xml:space="preserve"> Porcentaje de Dictámenes de incapacidad permanente y defunción autorizados a través del Módulo Electrónico de Salud en el Trabajo
</t>
    </r>
    <r>
      <rPr>
        <sz val="10"/>
        <rFont val="Soberana Sans"/>
        <family val="2"/>
      </rPr>
      <t xml:space="preserve"> Causa : Se mantiene el uso del SIMF-SISAT, las Coordinaciones Delegacionales de Salud en el Trabajo implementan estrategias oportunas para facilitar el cumplimiento del indicador. Efecto: Cumplimiento con respecto a la meta. Otros Motivos:</t>
    </r>
  </si>
  <si>
    <r>
      <t xml:space="preserve">Porcentaje de Dictamenes de Invalidez  autorizados a través del Módulo Electrónico de Salud en el Trabajo
</t>
    </r>
    <r>
      <rPr>
        <sz val="10"/>
        <rFont val="Soberana Sans"/>
        <family val="2"/>
      </rPr>
      <t xml:space="preserve"> Causa : Se mantiene el uso del SIMF-SISAT, las Coordinaciones Delegacionales de Salud en el Trabajo implementan estrategias oportunas para facilitar el cumplimiento. Efecto: 0.45 puntos por debajo de la meta. Otros Motivos:</t>
    </r>
  </si>
  <si>
    <r>
      <t xml:space="preserve">Porcentaje de cumplimiento en la capacitación de trabajadores en seguridad y salud en el trabajo
</t>
    </r>
    <r>
      <rPr>
        <sz val="10"/>
        <rFont val="Soberana Sans"/>
        <family val="2"/>
      </rPr>
      <t xml:space="preserve"> Causa : La difusión del Catálogo Nacional de Cursos de Capacitación en Seguridad y Salud en el Trabajo en las Organizaciones de Patrones y de Trabajadores, así como la promoción de los servicios de capacitación en las Organizaciones de Patrones, motivó un mayor interés por parrticipar en los cursos que imparten los Serivios de Seguridad en el Trabajo del IMSS.   Efecto: Se registran  0.42 puntos por encima de lo planeado en el periodo. Otros Motivos:</t>
    </r>
  </si>
  <si>
    <r>
      <t xml:space="preserve">Porcentaje de cumplimiento en la elaboración de estudios y programas preventivos de seguridad en el trabajo
</t>
    </r>
    <r>
      <rPr>
        <sz val="10"/>
        <rFont val="Soberana Sans"/>
        <family val="2"/>
      </rPr>
      <t xml:space="preserve"> Causa : La mayoría de las empresas visitadas aceptaron la participación del IMSS  para la elaboración de los estudios y programas preventivos de seguridad en el trabajo, derivado de la promoción realizada en las organizaciones que las representan y de los resultados logrados en la prevención en otras empresas intervenidas en años anteriores, por la calidad de las recomendaciones de prevención proporcionadas por los Especialistas del IMSS.  Efecto: Se registran  2.04 puntos porecentuales superior a lo planeado en el periodo. Otros Motivos:</t>
    </r>
  </si>
  <si>
    <r>
      <t xml:space="preserve">Porcentaje de seguimientos realizados en empresas con programas preventivos de seguridad en el trabajo.
</t>
    </r>
    <r>
      <rPr>
        <sz val="10"/>
        <rFont val="Soberana Sans"/>
        <family val="2"/>
      </rPr>
      <t xml:space="preserve"> Causa : Los seguimientos a las empresas intervenidas con programas preventivos de seguridad en el trabajos se facilitaron debido a la apertura de las empresas y una mejor planeación de éstos por el IMSS. Efecto: Se registran 1.84 puntos porcentuales superior a lo planeado en el periodo. Otros Motivos:</t>
    </r>
  </si>
  <si>
    <r>
      <t xml:space="preserve">Porcentaje de Calificación de los probables riesgos de trabajo
</t>
    </r>
    <r>
      <rPr>
        <sz val="10"/>
        <rFont val="Soberana Sans"/>
        <family val="2"/>
      </rPr>
      <t xml:space="preserve"> Causa : Los trabajadores asegurados no se han presentado a continuar con su tramite posterior a la atención médica inicial en el Instituto, aunado con la situación que la mayoría de las delegaciones no se ha concluido con el tramite de contratación de empresa que les brinda el servicio de correo certificado que permita enviar los formatos ST-7 y ST-9 al patrón, situaciones que no permiten concluir con el trámite de calificación del riesgo de trabajo. Efecto: 13.79 puntos por debajo de la meta. Otros Motivos:</t>
    </r>
  </si>
  <si>
    <t>E004</t>
  </si>
  <si>
    <t>Investigación y desarrollo tecnológico en salud</t>
  </si>
  <si>
    <t>Perspectiva de Género</t>
  </si>
  <si>
    <t>3 - Desarrollo Económico</t>
  </si>
  <si>
    <t>8 - Ciencia, Tecnología e Innovación</t>
  </si>
  <si>
    <t>1 - Investigación Científica</t>
  </si>
  <si>
    <t>24 - Investigación en salud pertinente y de excelencia académica</t>
  </si>
  <si>
    <t>Contribuir a impulsar la educación científica y tecnológica como elemento indispensable para la transformación de México en una sociedad del conocimiento mediante Consolidar la Investigación en Salud, en beneficio de la salud de los Derechohabientes del IMSS.</t>
  </si>
  <si>
    <r>
      <t>Gasto en Investigación Científica y Desarrollo Experimental (GIDE) ejecutado por la Instituciones de Educación Superior (IES) respecto al Producto Interno Bruto (PIB)</t>
    </r>
    <r>
      <rPr>
        <i/>
        <sz val="10"/>
        <color indexed="30"/>
        <rFont val="Soberana Sans"/>
      </rPr>
      <t xml:space="preserve">
Indicador Seleccionado</t>
    </r>
  </si>
  <si>
    <t>El indicador es una relación expresada como porcentaje.  Fórmula de cálculo:  IIIES=GIDEIES/PIB x100,     donde:  IIIES : Índice de inversión en investigación en instituciones de educación superior  GIDEIES: Gasto en investigación y desarrollo experimental ejecutado por las IES en el año de referencia.  PIB: Producto Interno Bruto en el año de referencia</t>
  </si>
  <si>
    <r>
      <t>Investigadores que pertenecen al Sistema Nacional de Investigadores</t>
    </r>
    <r>
      <rPr>
        <i/>
        <sz val="10"/>
        <color indexed="30"/>
        <rFont val="Soberana Sans"/>
      </rPr>
      <t xml:space="preserve">
</t>
    </r>
  </si>
  <si>
    <t>[(Número de Investigadores del Instituto Mexicano del Seguro Social que pertenecen al Sistema Nacional de Investigadores) / (Total de Investigadores del Instituto Mexicano del Seguro Social)] x 100      [(SIGMA)  Xi  / (SIGMA)   Yi ] * 100                                                                                                                                                                     Dónde:                                                                                                                                                                                                   X =  Investigadores del Instituto Mexicano del Seguro Social que pertenecen al Sistema Nacional de Investigadores   Y =  Investigadores del Instituto Mexicano del Seguro Social</t>
  </si>
  <si>
    <r>
      <t>Impacto de las Publicaciones Científicas generadas por el IMSS, en las áreas de conocimiento médico científico.</t>
    </r>
    <r>
      <rPr>
        <i/>
        <sz val="10"/>
        <color indexed="30"/>
        <rFont val="Soberana Sans"/>
      </rPr>
      <t xml:space="preserve">
</t>
    </r>
  </si>
  <si>
    <t>[(Artículos Científicos, generados por personal Institucional, que han sido publicados en revistas incorporadas al Journal Citation Report incluidas en los Cuartiles 1 y 2) / (Total de Artículos Científicos que han sido publicados en revistas incorporadas al Journal Citation Report)] x 100     [(SIGMA) Xi / (SIGMA) Yi ] * 100     Dónde:   X = Artículos Científicos, generados por personal Institucional, que han sido publicados en revistas incorporadas al Index Medicus ó Current Contents     Y = Artículos Científicos generados en el Instituto Mexicano del Seguro Social.</t>
  </si>
  <si>
    <r>
      <t>Porcentaje de Publicaciones Científicas con Factor de Impacto.</t>
    </r>
    <r>
      <rPr>
        <i/>
        <sz val="10"/>
        <color indexed="30"/>
        <rFont val="Soberana Sans"/>
      </rPr>
      <t xml:space="preserve">
</t>
    </r>
  </si>
  <si>
    <t>[(Sumatoria de Artículos Científicos generados por personal del IMSS y que han sido publicados en revistas incorporadas al Journal Citation Reports) / (Sumatoria de Artículos Científicos generados por personal del IMSS y que han sido publicados en revistas médico-científicas arbitradas)] x 100</t>
  </si>
  <si>
    <t>Los Derechohabientes del IMSS favorecen su estado de salud con la contribución de los productos científicos de calidad generados por la Investigación en Salud desarrollada en el Instituto.</t>
  </si>
  <si>
    <r>
      <t>Porcentaje de Publicaciones Científicas Indizadas</t>
    </r>
    <r>
      <rPr>
        <i/>
        <sz val="10"/>
        <color indexed="30"/>
        <rFont val="Soberana Sans"/>
      </rPr>
      <t xml:space="preserve">
</t>
    </r>
  </si>
  <si>
    <t>[(Artículos Científicos, generados por personal Institucional, que han sido publicados en revistas incorporadas al Index Medicus ó Current Contents) / (Total de Artículos Científicos generados en el Instituto Mexicano del Seguro Social)] x 100     [(SIGMA) Xi / (SIGMA) Yi ] * 100     Dónde:   X = Artículos Científicos, generados por personal Institucional, que han sido publicados en revistas incorporadas al Index Medicus ó Current Contents     Y = Artículos Científicos generados en el Instituto Mexicano del Seguro Social.</t>
  </si>
  <si>
    <t>A Recursos humanos formados en Maestrías y Doctorados.</t>
  </si>
  <si>
    <r>
      <t>Protocolos de Investigación Científica y Desarrollo Tecnológico relacionados a los Temas Prioritarios de Investigación en Salud</t>
    </r>
    <r>
      <rPr>
        <i/>
        <sz val="10"/>
        <color indexed="30"/>
        <rFont val="Soberana Sans"/>
      </rPr>
      <t xml:space="preserve">
</t>
    </r>
  </si>
  <si>
    <t>[(Protocolos de Investigación Científica y Desarrollo Tecnológico relacionados a los Temas Prioritarios de Investigación en Salud) / (Total de Protocolos de Investigación Científica y Desarrollo Tecnológico Autorizados (Registrados) en el Instituto Mexicano del Seguro Social)] x 100     [(SIGMA) Xi / (SIGMA) Yi ] * 100     Dónde:   X = Protocolos de Investigación Científica y Desarrollo Tecnológico relacionados a los Temas Prioritarios de Investigación en Salud     Y = Protocolos de Investigación Científica y Desarrollo Tecnológico Autorizados (Registrados) en el Instituto Mexicano del Seguro Social.</t>
  </si>
  <si>
    <r>
      <t>Culminación en cursos de maestría y doctorado</t>
    </r>
    <r>
      <rPr>
        <i/>
        <sz val="10"/>
        <color indexed="30"/>
        <rFont val="Soberana Sans"/>
      </rPr>
      <t xml:space="preserve">
</t>
    </r>
  </si>
  <si>
    <t>([(Sumatoria de alumnos IMSS que culminan cursos de maestría y doctorado en el periodo t) / (Sumatoria de alumnos IMSS que culminan cursos de maestría y doctorado en el periodo t-k)] - (1)) x 100</t>
  </si>
  <si>
    <t>Tasa de variación</t>
  </si>
  <si>
    <t>B Protocolos de Investigación Científica y Desarrollo Tecnológico Autorizados (Registrados).</t>
  </si>
  <si>
    <r>
      <t>Protocolos de Investigación Científica y Desarrollo Tecnológico Autorizados.</t>
    </r>
    <r>
      <rPr>
        <i/>
        <sz val="10"/>
        <color indexed="30"/>
        <rFont val="Soberana Sans"/>
      </rPr>
      <t xml:space="preserve">
</t>
    </r>
  </si>
  <si>
    <t>[[(Sumatoria de Protocolos de Investigación Científica y Desarrollo Tecnológico Autorizados en el IMSS  durante el periodo t) / (Sumatoria de Protocolos de Investigación Científica y Desarrollo Tecnológico Autorizados en el IMSS  durante el periodo t-k)] - (1)] x 100</t>
  </si>
  <si>
    <t>B 1 Dictamen de Protocolos de Investigación Científica y Desarrollo Tecnológico</t>
  </si>
  <si>
    <r>
      <t>Comités Locales de Investigación en Salud activos.</t>
    </r>
    <r>
      <rPr>
        <i/>
        <sz val="10"/>
        <color indexed="30"/>
        <rFont val="Soberana Sans"/>
      </rPr>
      <t xml:space="preserve">
</t>
    </r>
  </si>
  <si>
    <t xml:space="preserve">[(Número de Comités Locales de Investigación en Salud activos en el Instituto Mexicano del Seguro Social) / (Total de Comités Locales de Investigación yen Salud del Instituto Mexicano del Seguro Social)] x 100     </t>
  </si>
  <si>
    <r>
      <t>Protocolos de Investigación Científica y Desarrollo Tecnológico Dictaminados.</t>
    </r>
    <r>
      <rPr>
        <i/>
        <sz val="10"/>
        <color indexed="30"/>
        <rFont val="Soberana Sans"/>
      </rPr>
      <t xml:space="preserve">
</t>
    </r>
  </si>
  <si>
    <t>[[(Sumatoria de Protocolos de Investigación Científica y Desarrollo Tecnológico Dictaminados en el IMSS  durante el periodo t) / (Sumatoria de Protocolos de Investigación Científica y Desarrollo Tecnológico Dictaminados en el IMSS  durante el periodo t-k)] - (1)] x 100</t>
  </si>
  <si>
    <r>
      <t xml:space="preserve">Gasto en Investigación Científica y Desarrollo Experimental (GIDE) ejecutado por la Instituciones de Educación Superior (IES) respecto al Producto Interno Bruto (PIB)
</t>
    </r>
    <r>
      <rPr>
        <sz val="10"/>
        <rFont val="Soberana Sans"/>
        <family val="2"/>
      </rPr>
      <t>Sin Información,Sin Justificación</t>
    </r>
  </si>
  <si>
    <r>
      <t xml:space="preserve">Investigadores que pertenecen al Sistema Nacional de Investigadores
</t>
    </r>
    <r>
      <rPr>
        <sz val="10"/>
        <rFont val="Soberana Sans"/>
        <family val="2"/>
      </rPr>
      <t>Sin Información,Sin Justificación</t>
    </r>
  </si>
  <si>
    <r>
      <t xml:space="preserve">Impacto de las Publicaciones Científicas generadas por el IMSS, en las áreas de conocimiento médico científico.
</t>
    </r>
    <r>
      <rPr>
        <sz val="10"/>
        <rFont val="Soberana Sans"/>
        <family val="2"/>
      </rPr>
      <t xml:space="preserve"> Causa : La causa fue debido a que el IMSS consolidó el Programa Estratégico para Fortalecer la Investigación Científica Institucional, cuyo objetivo es incrementar el número de artículos publicados por personal de la salud adscrito a las Unidades Médicas o Unidad de Investigación del IMSS; derivado de lo anterior, el Instituto favoreció que su personal de salud  desarrolle actividades de investigación en salud de relevancia y con los más altos estándares de calidad internacional.  Destaca el siguiente hecho, publicar en Revistas ubicadas en Cuartiles Q1 y Q2,  requiere de mayor rigurosidad para la aceptación de los Resultados de Investigación que serán publicados en éste tipo de Revistas de vanguardia Internacional, altamente valoradas por sus aportaciones en cada Área de Conocimiento Médico Científico.  En éste sentido, el IMSS continúa siendo  pionero entre las Instituciones de Salud Mexicanas, al adoptar éste innovador sistema de evaluación. Efecto: El efecto de la evaluación al valorar el cuartil de las Revistas con Factor de Impacto en que se publican resultados de Investigación, ha motivado al Personal Institucional para publicar artículos científicos en Revistas con alto impacto Internacional y de vanguardia para cada Área de Conocimiento Médico Científico; logrando el cumplimiento de la meta propuesta para el periodo de reporte.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t>
    </r>
  </si>
  <si>
    <r>
      <t xml:space="preserve">Porcentaje de Publicaciones Científicas con Factor de Impacto.
</t>
    </r>
    <r>
      <rPr>
        <sz val="10"/>
        <rFont val="Soberana Sans"/>
        <family val="2"/>
      </rPr>
      <t xml:space="preserve"> Causa : La causa fue debido a que durante el ejercicio 2017, el IMSS consolidó el Programa Estratégico para Fortalecer la Investigación Científica Institucional, cuyo objetivo es incrementar el número de artículos publicados por personal de la salud adscrito a las Unidades Médicas o Unidad de Investigación del IMSS; derivado de lo anterior, el Instituto favoreció que su personal de salud  desarrolle actividades de investigación en salud de relevancia y con los más altos estándares de calidad internacional. Efecto: El efecto fue una mayor aceptación de los resultados de investigación científica generados por Personal Institucional para ser publicados por las Revistas con Factor de Impacto incluidas en el Journal Citation Report de Clarivate Analytics; logrando el cumplimiento de la meta propuesta para el periodo de reporte.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t>
    </r>
  </si>
  <si>
    <r>
      <t xml:space="preserve">Porcentaje de Publicaciones Científicas Indizadas
</t>
    </r>
    <r>
      <rPr>
        <sz val="10"/>
        <rFont val="Soberana Sans"/>
        <family val="2"/>
      </rPr>
      <t xml:space="preserve"> Causa : La causa fue debido a que el IMSS consolidó el Programa Estratégico para Fortalecer la Investigación Científica Institucional, cuyo objetivo es incrementar el número de artículos publicados por personal de la salud adscrito a las Unidades Médicas o Unidad de Investigación del IMSS; derivado de lo anterior, el Instituto favoreció que su personal de salud  desarrolle actividades de investigación en salud de relevancia y con los más altos estándares de calidad internacional.  Siendo así, el personal del IMSS se encuentra motivado para competir internacionalmente con la publicación de sus resultados de investigación en las Revistas Internacionales de vanguardia, para cada Área de Conocimiento Médico Científico; se destaca que el número de publicaciones indizadas se incremento en 25.33 %, respecto a lo reportado para el mismo en el ejercicio previo. Efecto: El efecto fue una disminución en el porcentaje de resultados de investigación científica generados por Personal Institucional que fueron ser publicados en las Revistas Indizadas; no obstante, el incremento en el número absoluto de publicaciones indizadas en 25.33 %, respecto a lo reportado para el mismo en el ejercicio previo.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t>
    </r>
  </si>
  <si>
    <r>
      <t xml:space="preserve">Protocolos de Investigación Científica y Desarrollo Tecnológico relacionados a los Temas Prioritarios de Investigación en Salud
</t>
    </r>
    <r>
      <rPr>
        <sz val="10"/>
        <rFont val="Soberana Sans"/>
        <family val="2"/>
      </rPr>
      <t xml:space="preserve"> Causa : La causa fue debido a que el Instituto continúa la promoción del desarrollo de las actividades de investigación en salud que cumplen con estándares internacionales para su autorización y que se apegan a las principales causas de morbi-mortalidad que aquejan a los Derechohabientes del IMSS. Efecto: El efecto fue el Registro de Protocolos de Investigación Científica y Desarrollo Tecnológico, propuestos por personal institucional, que cumplen con los estándares internacionales para su autorización  y que se apegan a las principales causas de morbi-mortalidad que aquejan a los Derechohabientes del IMSS;  logrando el cumplimiento de la meta propuesta para el periodo de reporte.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El impulso institucional se ha conjuntado con el interés del personal para  desarrollar  actividades de investigación en salud.</t>
    </r>
  </si>
  <si>
    <r>
      <t xml:space="preserve">Culminación en cursos de maestría y doctorado
</t>
    </r>
    <r>
      <rPr>
        <sz val="10"/>
        <rFont val="Soberana Sans"/>
        <family val="2"/>
      </rPr>
      <t>Sin Información,Sin Justificación</t>
    </r>
  </si>
  <si>
    <r>
      <t xml:space="preserve">Protocolos de Investigación Científica y Desarrollo Tecnológico Autorizados.
</t>
    </r>
    <r>
      <rPr>
        <sz val="10"/>
        <rFont val="Soberana Sans"/>
        <family val="2"/>
      </rPr>
      <t xml:space="preserve"> Causa : La causa fue debido a que el Instituto continúa favoreciendo que los Comités Locales de Investigación y Ética en Investigación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Efecto: El efecto fue un menor número de Protocolos de Investigación Científica y Desarrollo Tecnológico, propuestos por personal institucional, que fueron autorizados para su desarrollo.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Debe considerarse que el proceso de integración de los Comités Locales de Investigación en Salud (CLIS) deben apegarse a las disposiciones de la  Ley  General de Salud y su Reglamento en materia de Investigación en Salud, que implica la intervención de factores externos a la Institución (COFEPRIS) que pueden condicionar fluctuaciones en el número de CLIS activos involucrados en la autorización de los Protocolos de Investigación Científica y Desarrollo Tecnológico.</t>
    </r>
  </si>
  <si>
    <r>
      <t xml:space="preserve">Comités Locales de Investigación en Salud activos.
</t>
    </r>
    <r>
      <rPr>
        <sz val="10"/>
        <rFont val="Soberana Sans"/>
        <family val="2"/>
      </rPr>
      <t xml:space="preserve"> Causa : La causa fue debido a que el Instituto continúa favoreciendo que los Comités Locales de Investigación y Ética en Investigación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Efecto: El efecto fue que los Comités Locales de Investigación y Ética en Investigación en Salud del IMSS se encuentran en proceso de renovación de la vigencia de sus registros ante la Comisión Federal para la Protección contra Riesgos Sanitarios (COFEPRIS). Otros Motivos:Por tal razón, debe considerarse que el proceso de integración de los Comités Locales de Investigación en Salud deben apegarse a las disposiciones de la  Ley  General de Salud y su Reglamento en materia de Investigación en Salud, que implica la intervención de factores externos a la Institución (COFEPRIS) que pueden condicionar fluctuaciones en los resultados de acuerdo a su aceptación.</t>
    </r>
  </si>
  <si>
    <r>
      <t xml:space="preserve">Protocolos de Investigación Científica y Desarrollo Tecnológico Dictaminados.
</t>
    </r>
    <r>
      <rPr>
        <sz val="10"/>
        <rFont val="Soberana Sans"/>
        <family val="2"/>
      </rPr>
      <t xml:space="preserve"> Causa : La causa fue debido a que el Instituto continúa favoreciendo que los Comités Locales de Investigación y Ética en Investigación cumplan con los requerimientos de la Ley  General de Salud y su Reglamento en materia de Investigación en Salud, a fin de evaluar las propuestas de Investigación Científica y  Desarrollo Tecnológico  y garantizar que cumplan con estándares  nacionales e internacionales para su evaluación y dictamen. Efecto: El efecto fue un menor número de Protocolos de Investigación Científica y Desarrollo Tecnológico que fueron elaborados por personal institucional para ser sometidos a  evaluación y dictamen. Otros Motivos:Por tal razón, debe considerarse que la elaboración de protocolos de investigación científica por el personal de salud requiere tanto de un medio laboral  favorable para desarrollar actividades de investigación en salud como de interés y motivación individuales.   El impulso institucional se ha conjuntado con el interés del personal para  desarrollar  actividades de investigación en salud.</t>
    </r>
  </si>
  <si>
    <t>E006</t>
  </si>
  <si>
    <t>Recaudación de ingresos obrero patronales</t>
  </si>
  <si>
    <t>3 - Generación de Recursos para la Salud</t>
  </si>
  <si>
    <t>5 - Servicios de incorporación y recaudación</t>
  </si>
  <si>
    <t>Contribuir a avanzar en la construcción de un Sistema Nacional de Salud Universal bajo la rectoría de la Secretaría de Salud mediante la recaudación eficiente de las cuotas obrero-patronales, con una mayor incorporación y una mejor fiscalización y cobranza.</t>
  </si>
  <si>
    <r>
      <t>Porcentaje de población con aseguramiento público en salud que usa servicios públicos de atención médica</t>
    </r>
    <r>
      <rPr>
        <i/>
        <sz val="10"/>
        <color indexed="30"/>
        <rFont val="Soberana Sans"/>
      </rPr>
      <t xml:space="preserve">
Indicador Seleccionado</t>
    </r>
  </si>
  <si>
    <t>Resulta de restar al cien por ciento de la población la suma del porcentaje de población sin aseguramiento público y el porcentaje de población que teniendo aseguramiento público de salud utiliza servicios privados de atención médica</t>
  </si>
  <si>
    <r>
      <t>Tasa de variación bianual en el número de población derechohabiente adscrita a unidad de medicina familiar.</t>
    </r>
    <r>
      <rPr>
        <i/>
        <sz val="10"/>
        <color indexed="30"/>
        <rFont val="Soberana Sans"/>
      </rPr>
      <t xml:space="preserve">
</t>
    </r>
  </si>
  <si>
    <t>((Número de población derechohabiente adscrita a unidad de medicina familiar al semestre t) / (Número de población derechohabiente adscrita unidad de medicina familiar al semestre t-4)-1) x 100</t>
  </si>
  <si>
    <t>Las cuotas obrero-patronales son recaudadas eficientemente con una mayor incorporación y una mejor fiscalización y cobranza.</t>
  </si>
  <si>
    <r>
      <t>Tasa de variación bianual en la recaudación por ingresos obrero-patronales.</t>
    </r>
    <r>
      <rPr>
        <i/>
        <sz val="10"/>
        <color indexed="30"/>
        <rFont val="Soberana Sans"/>
      </rPr>
      <t xml:space="preserve">
</t>
    </r>
  </si>
  <si>
    <t>((Importe nominal acumulado de los ingresos obrero-patronales al semestre t) / (Importe nominal acumulado de los ingresos obrero-patronales al semestre t-4)-1) X 100</t>
  </si>
  <si>
    <t>A Cobranza y Fiscalización de cuotas obrero-patronales optimizadas.</t>
  </si>
  <si>
    <r>
      <t>Razón de la mora en días de emisión</t>
    </r>
    <r>
      <rPr>
        <i/>
        <sz val="10"/>
        <color indexed="30"/>
        <rFont val="Soberana Sans"/>
      </rPr>
      <t xml:space="preserve">
</t>
    </r>
  </si>
  <si>
    <t>((Saldo de la cartera en mora al semestre t )/(Importe promedio diario de la Emisión Mensual Anticipada incluyendo al IMSS como patrón, al semestre t))</t>
  </si>
  <si>
    <t>Días</t>
  </si>
  <si>
    <r>
      <t>Porcentaje de las cuotas obrero-patronales pagadas oportunamente.</t>
    </r>
    <r>
      <rPr>
        <i/>
        <sz val="10"/>
        <color indexed="30"/>
        <rFont val="Soberana Sans"/>
      </rPr>
      <t xml:space="preserve">
</t>
    </r>
  </si>
  <si>
    <t>((Importe acumulado de la Emisión Mensual Anticipada de las modalidades 10, 13 y 17 pagado oportunamente al semestre t)/(Importe de la Emisión Total Ajustada de las modalidades 10, 13 y 17 al semestre t)) x 100</t>
  </si>
  <si>
    <t>Estratégico-Economía-Semestral</t>
  </si>
  <si>
    <t>B Incorporación de asegurados trabajadores optimizada.</t>
  </si>
  <si>
    <r>
      <t>Tasa de variación bianual en el salario base asociado a asegurados trabajadores.</t>
    </r>
    <r>
      <rPr>
        <i/>
        <sz val="10"/>
        <color indexed="30"/>
        <rFont val="Soberana Sans"/>
      </rPr>
      <t xml:space="preserve">
</t>
    </r>
  </si>
  <si>
    <t>((Salario base de cotización asociado a asegurados trabajadores registrado en promedio al semestre t) / (Salario base de cotización asociado a asegurados trabajadores registrado en promedio al semestre t-4)-1) x 100</t>
  </si>
  <si>
    <r>
      <t>Tasa de variación bianual en el número de asegurados trabajadores.</t>
    </r>
    <r>
      <rPr>
        <i/>
        <sz val="10"/>
        <color indexed="30"/>
        <rFont val="Soberana Sans"/>
      </rPr>
      <t xml:space="preserve">
</t>
    </r>
  </si>
  <si>
    <t>((Número de asegurados trabajadores promedio al semestre t) / (Número de asegurados trabajadores promedio al semestre t-4)-1) x 100</t>
  </si>
  <si>
    <t>B 1 Compartida 1: Digitalización de los trámites de incorporación al IMSS.</t>
  </si>
  <si>
    <r>
      <t>Porcentaje de transacciones de asignación o localización de NSS realizadas en línea (IMSS Digital).</t>
    </r>
    <r>
      <rPr>
        <i/>
        <sz val="10"/>
        <color indexed="30"/>
        <rFont val="Soberana Sans"/>
      </rPr>
      <t xml:space="preserve">
</t>
    </r>
  </si>
  <si>
    <t>((Número de transacciones de asignación o localización de Número de Seguridad Social (NSS) realizadas en línea (IMSS Digital) al semestre t)/(Número de transacciones de asignación o localización de Número de Seguridad Social (NSS) totales al semestre t))x100</t>
  </si>
  <si>
    <t>Gestión-Eficacia-Semestral</t>
  </si>
  <si>
    <t>B 2 Compartida 2: Implementación del nuevo modelo integral de fiscalización.</t>
  </si>
  <si>
    <r>
      <t>Porcentaje de efectividad en actos de fiscalización.</t>
    </r>
    <r>
      <rPr>
        <i/>
        <sz val="10"/>
        <color indexed="30"/>
        <rFont val="Soberana Sans"/>
      </rPr>
      <t xml:space="preserve">
</t>
    </r>
  </si>
  <si>
    <t>((Número de actos de fiscalización concluidos  con observaciones al semestre t ) / (Total de actos de fiscalización concluidos al semestre t))x 100</t>
  </si>
  <si>
    <r>
      <t xml:space="preserve">Porcentaje de población con aseguramiento público en salud que usa servicios públicos de atención médica
</t>
    </r>
    <r>
      <rPr>
        <sz val="10"/>
        <rFont val="Soberana Sans"/>
        <family val="2"/>
      </rPr>
      <t>Sin Información,Sin Justificación</t>
    </r>
  </si>
  <si>
    <r>
      <t xml:space="preserve">Tasa de variación bianual en el número de población derechohabiente adscrita a unidad de medicina familiar.
</t>
    </r>
    <r>
      <rPr>
        <sz val="10"/>
        <rFont val="Soberana Sans"/>
        <family val="2"/>
      </rPr>
      <t>Sin Información,Sin Justificación</t>
    </r>
  </si>
  <si>
    <r>
      <t xml:space="preserve">Tasa de variación bianual en la recaudación por ingresos obrero-patronales.
</t>
    </r>
    <r>
      <rPr>
        <sz val="10"/>
        <rFont val="Soberana Sans"/>
        <family val="2"/>
      </rPr>
      <t>Sin Información,Sin Justificación</t>
    </r>
  </si>
  <si>
    <r>
      <t xml:space="preserve">Razón de la mora en días de emisión
</t>
    </r>
    <r>
      <rPr>
        <sz val="10"/>
        <rFont val="Soberana Sans"/>
        <family val="2"/>
      </rPr>
      <t>Sin Información,Sin Justificación</t>
    </r>
  </si>
  <si>
    <r>
      <t xml:space="preserve">Porcentaje de las cuotas obrero-patronales pagadas oportunamente.
</t>
    </r>
    <r>
      <rPr>
        <sz val="10"/>
        <rFont val="Soberana Sans"/>
        <family val="2"/>
      </rPr>
      <t>Sin Información,Sin Justificación</t>
    </r>
  </si>
  <si>
    <r>
      <t xml:space="preserve">Tasa de variación bianual en el salario base asociado a asegurados trabajadores.
</t>
    </r>
    <r>
      <rPr>
        <sz val="10"/>
        <rFont val="Soberana Sans"/>
        <family val="2"/>
      </rPr>
      <t>Sin Información,Sin Justificación</t>
    </r>
  </si>
  <si>
    <r>
      <t xml:space="preserve">Tasa de variación bianual en el número de asegurados trabajadores.
</t>
    </r>
    <r>
      <rPr>
        <sz val="10"/>
        <rFont val="Soberana Sans"/>
        <family val="2"/>
      </rPr>
      <t>Sin Información,Sin Justificación</t>
    </r>
  </si>
  <si>
    <r>
      <t xml:space="preserve">Porcentaje de transacciones de asignación o localización de NSS realizadas en línea (IMSS Digital).
</t>
    </r>
    <r>
      <rPr>
        <sz val="10"/>
        <rFont val="Soberana Sans"/>
        <family val="2"/>
      </rPr>
      <t>Sin Información,Sin Justificación</t>
    </r>
  </si>
  <si>
    <r>
      <t xml:space="preserve">Porcentaje de efectividad en actos de fiscalización.
</t>
    </r>
    <r>
      <rPr>
        <sz val="10"/>
        <rFont val="Soberana Sans"/>
        <family val="2"/>
      </rPr>
      <t>Sin Información,Sin Justificación</t>
    </r>
  </si>
  <si>
    <t>E007</t>
  </si>
  <si>
    <t>Servicios de guardería</t>
  </si>
  <si>
    <t>6 - Protección Social</t>
  </si>
  <si>
    <t>3 - Familia e Hijos</t>
  </si>
  <si>
    <t>9 - Oportunidad en la prestación del servicio de guardería</t>
  </si>
  <si>
    <t>Contribuir a promover el acceso de las mujeres al trabajo remunerado, empleo decente y recursos productivos, en un marco de igualdad mediante el otorgamiento del servicio de guardería conforme al artículo 201 de la Ley del Seguro Social a través de la atención integral de las (los) niñas (os).</t>
  </si>
  <si>
    <r>
      <t>Porcentaje de permanencia de la población beneficiada</t>
    </r>
    <r>
      <rPr>
        <i/>
        <sz val="10"/>
        <color indexed="30"/>
        <rFont val="Soberana Sans"/>
      </rPr>
      <t xml:space="preserve">
</t>
    </r>
  </si>
  <si>
    <t>(Beneficiarios usuarios con niños (as) inscritos (as) en el período que permanecen al menos seis meses durante el período / Beneficiarios usuarios registrados durante el período) * 100</t>
  </si>
  <si>
    <r>
      <t>Tasa de participación femenina en el mercado de trabajo</t>
    </r>
    <r>
      <rPr>
        <i/>
        <sz val="10"/>
        <color indexed="30"/>
        <rFont val="Soberana Sans"/>
      </rPr>
      <t xml:space="preserve">
Indicador Seleccionado</t>
    </r>
  </si>
  <si>
    <t>T = ( PEAf / Pobft14+ ) * 100  PEAf: Población económicamente activa femenina de 14 años y más  Pobft14+: Población femenina total de 14 años y más</t>
  </si>
  <si>
    <t>Otorgar el servicio de guardería a un mayor número de trabajadores que se encuentren en el supuesto del artículo 201 de la Ley del Seguro Social y que dispongan de un lugar para su hijo (a) durante las horas de su jornada laboral de acuerdo con el artículo 205 de la Ley del Seguro Social</t>
  </si>
  <si>
    <r>
      <t>Tasa de variación de los lugares para el otorgamiento del servicio de guardería</t>
    </r>
    <r>
      <rPr>
        <i/>
        <sz val="10"/>
        <color indexed="30"/>
        <rFont val="Soberana Sans"/>
      </rPr>
      <t xml:space="preserve">
</t>
    </r>
  </si>
  <si>
    <t>((Número de lugares instalados en las guarderías al final del periodo/ Número de lugares instalados en las guarderías al inicio del periodo)-1)*100</t>
  </si>
  <si>
    <t>Estratégico-Eficiencia-Anual</t>
  </si>
  <si>
    <r>
      <t>Horas promedio de estadía de los (as) niños (as) en guarderías</t>
    </r>
    <r>
      <rPr>
        <i/>
        <sz val="10"/>
        <color indexed="30"/>
        <rFont val="Soberana Sans"/>
      </rPr>
      <t xml:space="preserve">
</t>
    </r>
  </si>
  <si>
    <t xml:space="preserve">Sumatoria de las horas de estadía de los (as) niños (as) en guarderías en el periodo / Número de asistencias de los (as) niños (as) en las guarderías en el periodo </t>
  </si>
  <si>
    <t>Hora de servicio</t>
  </si>
  <si>
    <t>A Atender a los niños (as) de los trabajadores que se encuentren en el supuesto del artículo 201 de la Ley del Seguro Social durante su jornada laboral</t>
  </si>
  <si>
    <r>
      <t>Porcentaje de asistencia promedio diario</t>
    </r>
    <r>
      <rPr>
        <i/>
        <sz val="10"/>
        <color indexed="30"/>
        <rFont val="Soberana Sans"/>
      </rPr>
      <t xml:space="preserve">
</t>
    </r>
  </si>
  <si>
    <t>(Sumatoria del promedio diario de asistencia de los (as) niños (as) en las guarderías en el periodo / Número de niños (as) inscritos (as) en las guarderías en el periodo) * 100</t>
  </si>
  <si>
    <t>Gestión-Eficacia-Mensual</t>
  </si>
  <si>
    <t>B Contar con los lugares en el sistema de guarderías que permitan atender a los hijos (as) de los trabajadores que se encuentren en el supuesto del artículo 201 de la Ley del Seguro Social</t>
  </si>
  <si>
    <r>
      <t>Cobertura de la demanda del servicio de guarderías</t>
    </r>
    <r>
      <rPr>
        <i/>
        <sz val="10"/>
        <color indexed="30"/>
        <rFont val="Soberana Sans"/>
      </rPr>
      <t xml:space="preserve">
</t>
    </r>
  </si>
  <si>
    <t>(Número de lugares instalados en las guarderías en el periodo/Demanda potencial en el periodo) * 100</t>
  </si>
  <si>
    <t>A 1 Evaluar el grado de cumplimiento respecto de la normatividad aplicable vigente con la que se debe otorgar el servicio en las guarderías</t>
  </si>
  <si>
    <r>
      <t>Porcentaje de cumplimiento en la calidad del servicio</t>
    </r>
    <r>
      <rPr>
        <i/>
        <sz val="10"/>
        <color indexed="30"/>
        <rFont val="Soberana Sans"/>
      </rPr>
      <t xml:space="preserve">
</t>
    </r>
  </si>
  <si>
    <t>(Sumatoria de los puntajes obtenidos en la Supervisión Integral del servicio de guardería/ Sumatoria del puntaje máximo esperado en la  Supervisión Integral del Servicio de guardería)*100</t>
  </si>
  <si>
    <t>A 2 Evaluar la percepción de la calidad que tienen los usuarios del servicio de guardería</t>
  </si>
  <si>
    <r>
      <t>Porcentaje de satisfacción de los usuarios del servicio de guardería</t>
    </r>
    <r>
      <rPr>
        <i/>
        <sz val="10"/>
        <color indexed="30"/>
        <rFont val="Soberana Sans"/>
      </rPr>
      <t xml:space="preserve">
</t>
    </r>
  </si>
  <si>
    <t>(Sumatoria de los puntajes obtenidos en las encuestas de satisfacción del servicio de guardería aplicadas / Sumatoria de puntaje máximo esperado de la encuesta de satisfacción del servicio de guardería) * 100</t>
  </si>
  <si>
    <t>Gestión-Calidad-Cuatrimestral</t>
  </si>
  <si>
    <t>B 3 Aprovechar los lugares con los que cuenta actualmente el sistema de guarderías en beneficio de los trabajadores que se encuentran en el supuesto del artículo 201 de la Ley del Seguro Social</t>
  </si>
  <si>
    <r>
      <t>Porcentaje de ocupación en guarderías</t>
    </r>
    <r>
      <rPr>
        <i/>
        <sz val="10"/>
        <color indexed="30"/>
        <rFont val="Soberana Sans"/>
      </rPr>
      <t xml:space="preserve">
</t>
    </r>
  </si>
  <si>
    <t>(Número de niños (as) inscritos (as)  en las guarderías en el periodo / Número de lugares  instalados en las guarderías en el periodo) X 100</t>
  </si>
  <si>
    <r>
      <t xml:space="preserve">Porcentaje de permanencia de la población beneficiada
</t>
    </r>
    <r>
      <rPr>
        <sz val="10"/>
        <rFont val="Soberana Sans"/>
        <family val="2"/>
      </rPr>
      <t>Sin Información,Sin Justificación</t>
    </r>
  </si>
  <si>
    <r>
      <t xml:space="preserve">Tasa de participación femenina en el mercado de trabajo
</t>
    </r>
    <r>
      <rPr>
        <sz val="10"/>
        <rFont val="Soberana Sans"/>
        <family val="2"/>
      </rPr>
      <t>Sin Información,Sin Justificación</t>
    </r>
  </si>
  <si>
    <r>
      <t xml:space="preserve">Tasa de variación de los lugares para el otorgamiento del servicio de guardería
</t>
    </r>
    <r>
      <rPr>
        <sz val="10"/>
        <rFont val="Soberana Sans"/>
        <family val="2"/>
      </rPr>
      <t>Sin Información,Sin Justificación</t>
    </r>
  </si>
  <si>
    <r>
      <t xml:space="preserve">Horas promedio de estadía de los (as) niños (as) en guarderías
</t>
    </r>
    <r>
      <rPr>
        <sz val="10"/>
        <rFont val="Soberana Sans"/>
        <family val="2"/>
      </rPr>
      <t>Sin Información,Sin Justificación</t>
    </r>
  </si>
  <si>
    <r>
      <t xml:space="preserve">Porcentaje de asistencia promedio diario
</t>
    </r>
    <r>
      <rPr>
        <sz val="10"/>
        <rFont val="Soberana Sans"/>
        <family val="2"/>
      </rPr>
      <t xml:space="preserve"> Causa : El indicador de asistencia promedio diario quedó por debajo de la meta en 0.73 puntos porcentuales, lo que representó un decremento de 1.0% con respecto a la meta. Lo anterior debido al periodo vacacional de semana santa considerado una variable cíclica del servicio de guardería. Efecto: Sería conveniente que los menores inscritos asistieran con mayor regularidad a la guardería para que se beneficien de los programas educativos y alimenticios implantados en las unidades. Otros Motivos:</t>
    </r>
  </si>
  <si>
    <r>
      <t xml:space="preserve">Cobertura de la demanda del servicio de guarderías
</t>
    </r>
    <r>
      <rPr>
        <sz val="10"/>
        <rFont val="Soberana Sans"/>
        <family val="2"/>
      </rPr>
      <t xml:space="preserve"> Causa : El indicador de cobertura de la demanda quedó por arriba de la meta en 0.12 puntos porcentuales aunque el indicador reportó una cifra muy cercana a la meta programada, representó una variación porcentual de 0.5% con respecto a la meta derivado del aumento en aproximadamente 510 lugares de la capacidad instalada total con respecto al periodo anterior.   Efecto: Al cumplir con la cobertura programada de acuerdo a las cifras reportadas en el mes, se mantiene el nivel de atención y servicio esperado a los beneficiarios. Otros Motivos:</t>
    </r>
  </si>
  <si>
    <r>
      <t xml:space="preserve">Porcentaje de cumplimiento en la calidad del servicio
</t>
    </r>
    <r>
      <rPr>
        <sz val="10"/>
        <rFont val="Soberana Sans"/>
        <family val="2"/>
      </rPr>
      <t xml:space="preserve"> Causa : El cumplimiento de la calidad en el servicio quedó por arriba de la meta en 2.44 puntos porcentuales, por lo que los beneficiarios se encuentran satisfechos con el servicio Efecto: El cumplimiento de los estándares de calidad en la prestación del servicio de guardería, contribuye en una adecuada atención de las niñas y niños. Otros Motivos:</t>
    </r>
  </si>
  <si>
    <r>
      <t xml:space="preserve">Porcentaje de satisfacción de los usuarios del servicio de guardería
</t>
    </r>
    <r>
      <rPr>
        <sz val="10"/>
        <rFont val="Soberana Sans"/>
        <family val="2"/>
      </rPr>
      <t>Sin Información,Sin Justificación</t>
    </r>
  </si>
  <si>
    <r>
      <t xml:space="preserve">Porcentaje de ocupación en guarderías
</t>
    </r>
    <r>
      <rPr>
        <sz val="10"/>
        <rFont val="Soberana Sans"/>
        <family val="2"/>
      </rPr>
      <t xml:space="preserve"> Causa : El indicador del porcentaje de ocupación  quedó por debajo de la meta en 1.59 puntos porcentuales lo que representó una variación porcentual de -1.9% con respecto a la meta. Lo anterior debido a que la  inscripción con respecto a la meta programada fue menor en 2.54% ya que por un lado la apertura de las nuevas unidades en 2017 alcanzó el 70% de ocupación en promedio y por el otro la apertura de las nuevas unidades en 2018 apenas alcanzó un 50%  de ocupación en promedio, lo que impactó el resultado del indicador.  Efecto: Se permite atender a un mayor de usuarios al mismo tiempo, no obstante la inscripción de las nuevas guarderías aún no alcanza los niveles esperados. Otros Motivos:</t>
    </r>
  </si>
  <si>
    <t>E011</t>
  </si>
  <si>
    <t>Atención a la Salud</t>
  </si>
  <si>
    <t>Contribuir a asegurar el acceso efectivo a servicios de salud con calidad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</si>
  <si>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</si>
  <si>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r>
      <t>Tasa de hospitalización por diabetes no controlada con complicaciones de corto plazo (Indicador definido por la OCDE)</t>
    </r>
    <r>
      <rPr>
        <i/>
        <sz val="10"/>
        <color indexed="30"/>
        <rFont val="Soberana Sans"/>
      </rPr>
      <t xml:space="preserve">
Indicador Seleccionado</t>
    </r>
  </si>
  <si>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</si>
  <si>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La población usuaria del IMSS presenta menor morbilidad</t>
  </si>
  <si>
    <r>
      <t>Tasa de incidencia de enfermedades crónico degenerativas seleccionadas en derechohabientes del IMSS</t>
    </r>
    <r>
      <rPr>
        <i/>
        <sz val="10"/>
        <color indexed="30"/>
        <rFont val="Soberana Sans"/>
      </rPr>
      <t xml:space="preserve">
</t>
    </r>
  </si>
  <si>
    <t>(Total de casos nuevos de enfermedades crónico degenerativas) / (Población adscrita a médico familiar) X 100, 000</t>
  </si>
  <si>
    <t>Tasa de incidencia</t>
  </si>
  <si>
    <t>A Complicaciones obstétricas y perinatales disminuidas</t>
  </si>
  <si>
    <r>
      <t>Proporción de prematurez</t>
    </r>
    <r>
      <rPr>
        <i/>
        <sz val="10"/>
        <color indexed="30"/>
        <rFont val="Soberana Sans"/>
      </rPr>
      <t xml:space="preserve">
</t>
    </r>
  </si>
  <si>
    <t>Total de recién nacidos vivos menores de 37 semanas de gestación, en un periodo y área geográfica determinados/Total de recién nacidos vivos del mismo periodo y área geográfica * 100</t>
  </si>
  <si>
    <r>
      <t>Porcentaje de preeclampsia - eclampsia</t>
    </r>
    <r>
      <rPr>
        <i/>
        <sz val="10"/>
        <color indexed="30"/>
        <rFont val="Soberana Sans"/>
      </rPr>
      <t xml:space="preserve">
</t>
    </r>
  </si>
  <si>
    <t>(Egresos hospitalarios con diagnóstico de preeclampsia-eclampsia (CIE 10, códigos O13, O14, O15, O16))/(Total de egresos hospitalarios (en el post parto y post aborto) menos los abortos (CIE10 códigos O00 a O08))*100</t>
  </si>
  <si>
    <t>Estratégico-Eficiencia-Trimestral</t>
  </si>
  <si>
    <t>B Infecciones nosocomiales reducidas</t>
  </si>
  <si>
    <r>
      <t xml:space="preserve">Tasa de Infecciones Nosocomiales por 1,000 días estancia en Unidades Médicas Hospitalarias de 20 o más camas censables.    </t>
    </r>
    <r>
      <rPr>
        <i/>
        <sz val="10"/>
        <color indexed="30"/>
        <rFont val="Soberana Sans"/>
      </rPr>
      <t xml:space="preserve">
</t>
    </r>
  </si>
  <si>
    <t xml:space="preserve">(Número de infecciones nosocomiales en Unidades de Segundo nivel de 20 o más camas censables y en Unidades Médicas de Alta Especialidad / Total de días estancia en nidades de Segundo nivel de 20 o más camas censables y en Unidades Médicas de Alta Especialidadl) x 1,000    </t>
  </si>
  <si>
    <t>C Control adecuado de pacientes con enfermedades crónico degenerativas</t>
  </si>
  <si>
    <r>
      <t xml:space="preserve">Porcentaje de pacientes con Diabetes mellitus tipo 2 en control adecuado de glucemia en  ayuno (70 -130 mg/dl)         </t>
    </r>
    <r>
      <rPr>
        <i/>
        <sz val="10"/>
        <color indexed="30"/>
        <rFont val="Soberana Sans"/>
      </rPr>
      <t xml:space="preserve">
</t>
    </r>
  </si>
  <si>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</si>
  <si>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</si>
  <si>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r>
      <t xml:space="preserve">Porcentaje de pacientes en control adecuado de Hipertensión Arterial Sistémica en Medicina Familiar                  </t>
    </r>
    <r>
      <rPr>
        <i/>
        <sz val="10"/>
        <color indexed="30"/>
        <rFont val="Soberana Sans"/>
      </rPr>
      <t xml:space="preserve">
</t>
    </r>
  </si>
  <si>
    <t xml:space="preserve">Número de pacientes subsecuentes con Diagnóstico de Hipertensión Arterial Sistémica (CIE I10 - I15) con cifras de tensión arterial sistólica menor de 130 mmHg y diastólica de menor 90 mmHg / Total de pacientes subsecuentes con Diagnóstico de Hipertensión Arterial Sistémica) X 100         </t>
  </si>
  <si>
    <t>D Atención médica en servicios de urgencia otorgada</t>
  </si>
  <si>
    <r>
      <t xml:space="preserve">    Porcentaje de pacientes con estancia prolongada (mayor de12 horas) en el área de observación del servicio de urgencias en unidades de segundo nivel    </t>
    </r>
    <r>
      <rPr>
        <i/>
        <sz val="10"/>
        <color indexed="30"/>
        <rFont val="Soberana Sans"/>
      </rPr>
      <t xml:space="preserve">
</t>
    </r>
  </si>
  <si>
    <t xml:space="preserve">(Número de pacientes egresados del área de observación de los servicios de urgencias de segundo nivel, con estancia de más de 12 horas / Total de pacientes egresados de los servicios de urgencias, en unidades de segundo nivel) X 100    </t>
  </si>
  <si>
    <t>Asegurado</t>
  </si>
  <si>
    <t>Gestión-Calidad-Semestral</t>
  </si>
  <si>
    <t>E Atención médica otorgada con oportunidad en UMAE</t>
  </si>
  <si>
    <r>
      <t>Porcentaje de pacientes a quienes se les realiza una cirugía electiva no concertada, a los 20 días hábiles o menos a partir de su solicitud, en Unidades Médicas de Alta Especialidad.</t>
    </r>
    <r>
      <rPr>
        <i/>
        <sz val="10"/>
        <color indexed="30"/>
        <rFont val="Soberana Sans"/>
      </rPr>
      <t xml:space="preserve">
</t>
    </r>
  </si>
  <si>
    <t xml:space="preserve">(Total de pacientes a quienes se les realiza una intervención quirúrgica electiva no concertada, dentro de los 20 días hábiles o menos a partir de la solicitud del cirujano tratante de la UMAE) /( Total de pacientes con solicitud otorgada por el médico tratante para cirugía electiva no concertada en UMAE) X 100    </t>
  </si>
  <si>
    <r>
      <t>Porcentaje de pacientes a quienes se les otorga una consulta de especialidad, a los 20 días hábiles o menos a partir de su solicitud, en Unidades Médicas de Alta Especialidad.</t>
    </r>
    <r>
      <rPr>
        <i/>
        <sz val="10"/>
        <color indexed="30"/>
        <rFont val="Soberana Sans"/>
      </rPr>
      <t xml:space="preserve">
</t>
    </r>
  </si>
  <si>
    <t xml:space="preserve">(Número de pacientes de primera vez con cita programada en especialidades de una UMAE en un plazo de 20 días hábiles o menos a partir de la presentación de la solicitud en la UMAE) / (Total de pacientes a quienes se les otorga una consulta de especialidades de primera vez (por el segundo y eventualmente primer nivel de atención) a la UMAE )X 100     </t>
  </si>
  <si>
    <t>Gestión-Calidad-Trimestral</t>
  </si>
  <si>
    <t>A 1 Atención adecuada de las pacientes embarazadas</t>
  </si>
  <si>
    <r>
      <t xml:space="preserve">Oportunidad de inicio de la vigilancia prenatal    </t>
    </r>
    <r>
      <rPr>
        <i/>
        <sz val="10"/>
        <color indexed="30"/>
        <rFont val="Soberana Sans"/>
      </rPr>
      <t xml:space="preserve">
</t>
    </r>
  </si>
  <si>
    <t xml:space="preserve">(Consultas prenatales de primera vez, en el primer trimestre de la gestación/ Total de consultas prenatales de primera vez ) X 100    </t>
  </si>
  <si>
    <t>Consulta</t>
  </si>
  <si>
    <r>
      <t xml:space="preserve">Promedio de atenciones prenatales por embarazada    </t>
    </r>
    <r>
      <rPr>
        <i/>
        <sz val="10"/>
        <color indexed="30"/>
        <rFont val="Soberana Sans"/>
      </rPr>
      <t xml:space="preserve">
</t>
    </r>
  </si>
  <si>
    <t xml:space="preserve">(Total de consultas para la vigilancia prenatal/Total de consultas de primera vez para la vigilancia prenatal)     </t>
  </si>
  <si>
    <t>B 2 Limpieza de las Unidades Médicas.</t>
  </si>
  <si>
    <r>
      <t>Eficacia del Proceso del Control de Ambientes Físicos</t>
    </r>
    <r>
      <rPr>
        <i/>
        <sz val="10"/>
        <color indexed="30"/>
        <rFont val="Soberana Sans"/>
      </rPr>
      <t xml:space="preserve">
</t>
    </r>
  </si>
  <si>
    <t>(Promedio nacional mensual del registro resultante de la suma de las calificaciones obtenidas del Nivel Integral de Limpieza (NIL) por las Delegaciones y UMAE en el mes del informe / Número de entidades del sistema que enviaron el reporte)</t>
  </si>
  <si>
    <t>C 3 Atención a pacientes con enfermedades crónicas en unidades de medicina familiar</t>
  </si>
  <si>
    <r>
      <t xml:space="preserve">Pacientes subsecuentes con diagnóstico de Diabetes Mellitus tipo 2         </t>
    </r>
    <r>
      <rPr>
        <i/>
        <sz val="10"/>
        <color indexed="30"/>
        <rFont val="Soberana Sans"/>
      </rPr>
      <t xml:space="preserve">
</t>
    </r>
  </si>
  <si>
    <t xml:space="preserve">Número total de pacientes subsecuentes con diagnóstico de Diabetes Mellitus tipo 2 que acuden a la consulta de medicina familiar         </t>
  </si>
  <si>
    <r>
      <t xml:space="preserve">Pacientes con diagnóstico de Hipertensión Arterial Sistémica que acuden de manera subsecuente a la consulta de Medicina Familiar                 </t>
    </r>
    <r>
      <rPr>
        <i/>
        <sz val="10"/>
        <color indexed="30"/>
        <rFont val="Soberana Sans"/>
      </rPr>
      <t xml:space="preserve">
</t>
    </r>
  </si>
  <si>
    <t xml:space="preserve">Número total de pacientes subsecuentes con Diagnóstico de Hipertensión Arterial Sistémica que acuden a la consulta de medicina familiar          </t>
  </si>
  <si>
    <t>C 4 Suministro de medicamentos</t>
  </si>
  <si>
    <r>
      <t>Porcentaje de surtimiento de recetas médicas</t>
    </r>
    <r>
      <rPr>
        <i/>
        <sz val="10"/>
        <color indexed="30"/>
        <rFont val="Soberana Sans"/>
      </rPr>
      <t xml:space="preserve">
</t>
    </r>
  </si>
  <si>
    <t>(Total de recetas de medicamentos atendidas/Total de recetas individuales de medicamentos presentadas)*100</t>
  </si>
  <si>
    <t>Recetas</t>
  </si>
  <si>
    <t>D 5 Otorgamiento de consulta en urgencias</t>
  </si>
  <si>
    <r>
      <t xml:space="preserve">Índice consultas de urgencias por 1000 derechohabientes en unidades de segundo nivel    </t>
    </r>
    <r>
      <rPr>
        <i/>
        <sz val="10"/>
        <color indexed="30"/>
        <rFont val="Soberana Sans"/>
      </rPr>
      <t xml:space="preserve">
</t>
    </r>
  </si>
  <si>
    <t xml:space="preserve">(Total de consultas de urgencias otorgadas en unidades de segundo nivel / total de derechohabientes adscritos a médico familiar) X 1000    </t>
  </si>
  <si>
    <t>E 6 Programación de atención médica y quirúrgica en Unidades Médicas de Alta Especialidad.</t>
  </si>
  <si>
    <r>
      <t xml:space="preserve">Total de cirugías electivas programadas en Unidades Médicas de Alta Especialidad    </t>
    </r>
    <r>
      <rPr>
        <i/>
        <sz val="10"/>
        <color indexed="30"/>
        <rFont val="Soberana Sans"/>
      </rPr>
      <t xml:space="preserve">
</t>
    </r>
  </si>
  <si>
    <t xml:space="preserve">Total de cirugías  electivas programadas realizadas en Unidades Médicas de Alta Especialidad     </t>
  </si>
  <si>
    <t>Cirugías</t>
  </si>
  <si>
    <r>
      <t xml:space="preserve">Total de consultas de  primera vez otorgadas en Unidades Médicas de Alta Especialidad    </t>
    </r>
    <r>
      <rPr>
        <i/>
        <sz val="10"/>
        <color indexed="30"/>
        <rFont val="Soberana Sans"/>
      </rPr>
      <t xml:space="preserve">
</t>
    </r>
  </si>
  <si>
    <t xml:space="preserve">Total de consultas de primera vez otorgadas en Unidades Médicas de Alta Especialidad    </t>
  </si>
  <si>
    <r>
      <t xml:space="preserve">Tasa de hospitalización por diabetes no controlada con complicaciones de corto plazo (Indicador definido por la OCDE)
</t>
    </r>
    <r>
      <rPr>
        <sz val="10"/>
        <rFont val="Soberana Sans"/>
        <family val="2"/>
      </rPr>
      <t>Sin Información,Sin Justificación</t>
    </r>
  </si>
  <si>
    <r>
      <t xml:space="preserve">Tasa de incidencia de enfermedades crónico degenerativas seleccionadas en derechohabientes del IMSS
</t>
    </r>
    <r>
      <rPr>
        <sz val="10"/>
        <rFont val="Soberana Sans"/>
        <family val="2"/>
      </rPr>
      <t>Sin Información,Sin Justificación</t>
    </r>
  </si>
  <si>
    <r>
      <t xml:space="preserve">Proporción de prematurez
</t>
    </r>
    <r>
      <rPr>
        <sz val="10"/>
        <rFont val="Soberana Sans"/>
        <family val="2"/>
      </rPr>
      <t xml:space="preserve"> Causa : La prematurez se incrementó principalmente por: a) La postergación del embarazo a edades mayores a 34 años, con mayor posibilidad de tener enfermedades previas como diabetes, cardiopatías, hipertensión arterial, autoinmunes, etc., aún cuando se promueve la consulta preconcepcional para que se embaracen en las mejores condiciones. b) Complicaciones durante el embarazo como: la infección genitourinaria provocan ruptura prematura de membranas y condiciona partos prematuros; la preclampsia-eclampsia aumenta el riesgo de parto prematuro y prematurez; el antecedente de cesárea en la embarazada incrementa el riesgo de inserción anómala de la placenta que condiciona hemorragia y por consecuencia el nacimiento prematuro. Se inició la estandarización del tratamiento con la incorporación de medicamentos. c) Incremento de mujeres que se embarazan, en clínicas privadas,  con la aplicación de tecnologías de reproducción por tener edad avanzada, padecer enfermedades crónicas que en muchos casos se embarazan en forma múltiple generando partos antes de tiempo. Además el uso generalizado actual de fármacos (esquema de inductores de maduración pulmonar al feto y al recién nacido) mejora la sobrevida de prematuros extremos (menos de 1,500 gramos al nacer), lo que incrementa el número de recién nacidos prematuros.  Efecto: Las causas señaladas son factores de riesgo para el nacimiento de niños prematuros. Otros Motivos:Se considera parto prematuro al que se presenta de las 28 semanas hasta la 37 semanas. La OMS, refiere que en los países de ingresos bajos, una media del 12% de los niños nace antes de tiempo, frente al 9% en los países de ingresos más altos. Dentro de un mismo país, las familias más pobres corren un mayor riesgo de parto prematuro. También señala que hay un incremento de ésta por las causas descritas. Datos del período enero-diciembre 2017, última información disponible en el IMSS/DIS</t>
    </r>
  </si>
  <si>
    <r>
      <t xml:space="preserve">Porcentaje de preeclampsia - eclampsia
</t>
    </r>
    <r>
      <rPr>
        <sz val="10"/>
        <rFont val="Soberana Sans"/>
        <family val="2"/>
      </rPr>
      <t xml:space="preserve"> Causa : El incremento en el porcentaje de mujeres diagnosticadas con preeclampsia-eclampsia, se debe a mayor calidad en la atención (diagnóstico y tratamiento oportunos); así como a la mejora del registro en las fuentes primarias que alimentan el sistema. Otra causa relacionada con la mejora del indicador es el que las mujeres se embarazan en mejores condiciones, es decir acuden a atención para conocer y mejorar su estado de salud, embarazarse en edad óptima o están en vigilancia de enfermedades preexistentes crónicas para lograr un embarazo con menor riego. Es importante considerar que las mujeres con enfermedades preexistentes tienen mayor posibilidad de presentar preeclampsia-eclampsia durante el embarazo, entre el 30 y 50%. Efecto: Las acciones que se han puesto en práctica permiten diagnosticar oportunamente la posibilidad de presentar preeclampsia-eclampsia en las mujeres durante la etapa grávido puerperal y/o intervenir para evitar mayor morbilidad o mortalidad por esta causa. Otros Motivos:Datos del período enero-diciembre 2017, última información disponible en el IMSS/DIS</t>
    </r>
  </si>
  <si>
    <r>
      <t xml:space="preserve">Tasa de Infecciones Nosocomiales por 1,000 días estancia en Unidades Médicas Hospitalarias de 20 o más camas censables.    
</t>
    </r>
    <r>
      <rPr>
        <sz val="10"/>
        <rFont val="Soberana Sans"/>
        <family val="2"/>
      </rPr>
      <t xml:space="preserve"> Causa : Durante el 2017 se implemento el Modelo de Gestión de Riesgos focalizado al Programa de Vigilancia Epidemiológica de las Infecciones Asociadas a la Atención de la Salud su prevención y control y durante el primer trimestre del 2018 se realizaron 4 cursos regionales para el seguimiento de los planes de acción implementados para la mejora d elos procesos en las Delegaciones y UMAE´s. Efecto: Reducción de la tasa de infecciones asociada a la atención de la salud.  Otros Motivos:Ninguno.</t>
    </r>
  </si>
  <si>
    <r>
      <t xml:space="preserve">Porcentaje de pacientes con Diabetes mellitus tipo 2 en control adecuado de glucemia en  ayuno (70 -130 mg/dl)         
</t>
    </r>
    <r>
      <rPr>
        <sz val="10"/>
        <rFont val="Soberana Sans"/>
        <family val="2"/>
      </rPr>
      <t xml:space="preserve"> Causa : El indicador se obtuvo por debajo de lo esperado, lo que refleja que no se obtenga el control de los pacientes Diabéticos,  ya que esto implica no solo el tratamiento farmacológico, va mas allá, necesariamente hay que incidir en la modificación de los hábitos de vida, por aquellos que sean más saludables para el paciente, como son el manejo de una dieta, ejercicio individualizado conforme sus condiciones, lo cual ya se aborda en programas dirigidos a pacientes con diagnóstico de Diabetes Mellitus tipo 2 en los que participa el médico y el equipo multidisciplinario, al proporcionar atención de forma  integral.  Efecto: El efecto será disminuir el riesgo a presentar  complicaciones de forma temprana en los pacientes con Diabetes Mellitus controlados. Otros Motivos:Información  estimada a marzo 2018</t>
    </r>
  </si>
  <si>
    <r>
      <t xml:space="preserve">Porcentaje de pacientes en control adecuado de Hipertensión Arterial Sistémica en Medicina Familiar                  
</t>
    </r>
    <r>
      <rPr>
        <sz val="10"/>
        <rFont val="Soberana Sans"/>
        <family val="2"/>
      </rPr>
      <t xml:space="preserve"> Causa : El resultado de indicador fue menor a la meta esperada y a lo obtenido e los dos ultimos trimestres de 2017, ya que el número de pacientes con hipertensión arterial va en incremento,  por consiguiente al observar que entre los factores de riesgo que aumentan la probabilidad de sufrir presión alta se encuentran el sobrepeso, la obesidad, el tabaquismo, el alcoholismo y el sedentarismo factores relacionado con estilos de vida, los cuales son  prevenible y controlable mediante medidas higiénico-dietéticas y medicamentos antihipertensivos, esta enfermedad se encuentra dentro del Modelo Preventivo de Enfermedades Crónicas, el cual tiene como objetivo cambiar el esquema de atención médica curativa con el propósito de retrasar la presencia de complicaciones tempranas.  Efecto: El efecto esperado en los pacientes  en control es disminuir la presencia de complicaciones por Hipertensión Arterial, así como liberar espacios en la consulta externa de Medicina Familiar. Otros Motivos:Información  estimada a marzo 2018.</t>
    </r>
  </si>
  <si>
    <r>
      <t xml:space="preserve">    Porcentaje de pacientes con estancia prolongada (mayor de12 horas) en el área de observación del servicio de urgencias en unidades de segundo nivel    
</t>
    </r>
    <r>
      <rPr>
        <sz val="10"/>
        <rFont val="Soberana Sans"/>
        <family val="2"/>
      </rPr>
      <t>Sin Información,Sin Justificación</t>
    </r>
  </si>
  <si>
    <r>
      <t xml:space="preserve">Porcentaje de pacientes a quienes se les realiza una cirugía electiva no concertada, a los 20 días hábiles o menos a partir de su solicitud, en Unidades Médicas de Alta Especialidad.
</t>
    </r>
    <r>
      <rPr>
        <sz val="10"/>
        <rFont val="Soberana Sans"/>
        <family val="2"/>
      </rPr>
      <t xml:space="preserve"> Causa : Se da el informe solo los meses de enero y febrero de 2018 falta completar el registro del mes de marzo. La información solo abarca al primer bimestre y no al tercer trimestre. Efecto: La diferencia en el logro obtenido con respecto al esperado es mínima, no traduce circunstancias que afecten al derechohabiente. Otros Motivos:Información solo de los meses de enero y febrero 2018.</t>
    </r>
  </si>
  <si>
    <r>
      <t xml:space="preserve">Porcentaje de pacientes a quienes se les otorga una consulta de especialidad, a los 20 días hábiles o menos a partir de su solicitud, en Unidades Médicas de Alta Especialidad.
</t>
    </r>
    <r>
      <rPr>
        <sz val="10"/>
        <rFont val="Soberana Sans"/>
        <family val="2"/>
      </rPr>
      <t xml:space="preserve"> Causa : El indicador no alcanza la meta dado que solo se reporta el  mes de enero  y febrero 2018, el logro esta 7.78 puntos porcentuales por debajo de la meta esperada, debido a los  siguientes factores: 1.-La solicitud de cita oportuna de consulta de tercer nivel se encuentra rebasada por el incremento de patologías crónico- degenerativas  2.- La atención de pacientes que requieren atención especializada es mayor. Efecto: Se están realizando mejoras para prevenir que se afecte la atención al derechohabiente, como hacer eficiente el proceso de referencia de segundo a tercer nivel para mejorar la oportunidad en la consulta. Otros Motivos: Información  del mes de enero y febrero del  2018</t>
    </r>
  </si>
  <si>
    <r>
      <t xml:space="preserve">Oportunidad de inicio de la vigilancia prenatal    
</t>
    </r>
    <r>
      <rPr>
        <sz val="10"/>
        <rFont val="Soberana Sans"/>
        <family val="2"/>
      </rPr>
      <t xml:space="preserve"> Causa : Información estimada del periodo enero - marzo de 2018.        La oportunidad de inicio de la vigilancia prenatal durante el primer trimestre de gestación, resultó en 55.7%.        Se considera satisfactorio, ya que se interpreta que de 5 a 6 de cada 10 embarazadas acuden al inicio de su vigilancia prenatal antes de las primeras 12 semanas y 6 días de la gestación. Efecto: La finalidad de iniciar tempranamente la atención prenatal es brindarle todas las acciones médico preventivas  para poder culminar la gestación a término, con la madre y el producto saludables. Otros Motivos:</t>
    </r>
  </si>
  <si>
    <r>
      <t xml:space="preserve">Promedio de atenciones prenatales por embarazada    
</t>
    </r>
    <r>
      <rPr>
        <sz val="10"/>
        <rFont val="Soberana Sans"/>
        <family val="2"/>
      </rPr>
      <t xml:space="preserve"> Causa : Información estimada del periodo enero - marzo de 2018.         El promedio de atenciones prenatales por embarazada resultó 0.4, por abajo de la meta establecida en el periodo (6.4).      Las causas que ocasionaron un promedio menor de consultas a las esperadas fue por menor demanda de atenciones subsecuentes en la vigilancia prenatal. Efecto: Se propicia que la embarazada asista a la vigilancia prenatal en forma periódica, lo cual contribuye a la detección oportuna de signos y síntomas que pudieran complicar el embarazo.  Otros Motivos:</t>
    </r>
  </si>
  <si>
    <r>
      <t xml:space="preserve">Eficacia del Proceso del Control de Ambientes Físicos
</t>
    </r>
    <r>
      <rPr>
        <sz val="10"/>
        <rFont val="Soberana Sans"/>
        <family val="2"/>
      </rPr>
      <t xml:space="preserve"> Causa : Se registró un avance de 87.30 al primer trimestre de 2018, por lo que se alcanzó un cumplimiento de 87.30% de la meta establecida para el trimestre,  debido a la vacancia de plazas de limpieza, sin embargo se da  prioridad a la limpieza de áreas de alto riesgo como terapias intensivas, quirófanos, hospitalización, urgencias, hemodiálisis y CEyE sin desatender salas de espera, circulaciones, áreas de urgencia y consultorios entre otros servicios, manteniendo un nivel adecuado de limpieza en las mismas. Efecto: Toda vez que  las áreas administrativas delegacionales han realizado la gestión para la cobertura de plazas vacantes, estas se cubren en diversos casos con personal temporal.   Otros Motivos:</t>
    </r>
  </si>
  <si>
    <r>
      <t xml:space="preserve">Pacientes subsecuentes con diagnóstico de Diabetes Mellitus tipo 2         
</t>
    </r>
    <r>
      <rPr>
        <sz val="10"/>
        <rFont val="Soberana Sans"/>
        <family val="2"/>
      </rPr>
      <t xml:space="preserve"> Causa : El logro del Indicador se observa por arriba de lo esperado, asi como al comparlo con los dos ultimos trimestres de 2017 que tambien refleja un ascenco,   debido al incremento del número de pacientes que se cita de manera subsecuente para mantener un mejor seguimiento en su tratamiento;  toda vez que esta enfermedad es resultado de factores relacionado con estilos de vida, los cuales son  prevenible y controlable mediante medidas higiénico-dietéticas y medicamentos para bajar la glucosa, a los pacientes con Diabetes Mellitus subsecuentes se presenten con mayor frecuencia a solicitar atención  médica para la continuidad de su tratamiento farmacológico y no farmacológico. Efecto: Establecer estrategias para el mejor control del tratamiento integral en los pacientes con Diabetes Mellitus que acuden de manera subsecuente a las Unidades Médicas, por lo que esta enfermedad se encuentra dentro del Modelo Preventivo de Enfermedades Crónicas, el cual tiene como objetivo cambiar el esquema de atención médica curativa con el propósito de retrasar la presencia de complicaciones tempranas. Otros Motivos:Información  estimada a marzo 2018.</t>
    </r>
  </si>
  <si>
    <r>
      <t xml:space="preserve">Pacientes con diagnóstico de Hipertensión Arterial Sistémica que acuden de manera subsecuente a la consulta de Medicina Familiar                 
</t>
    </r>
    <r>
      <rPr>
        <sz val="10"/>
        <rFont val="Soberana Sans"/>
        <family val="2"/>
      </rPr>
      <t xml:space="preserve"> Causa : El resultado del Indicador quedo por arriba de la meta esperada, esto debido al incremento del número de pacientes que se cita de manera subsecuente para mantener un mejor seguimiento en su tratamiento. Efecto: El efecto es favorecer que se mantenga un mejor control del tratamiento integral para Hipertensión Arterial. Otros Motivos:Información  estimada a marzo 2018.</t>
    </r>
  </si>
  <si>
    <r>
      <t xml:space="preserve">Porcentaje de surtimiento de recetas médicas
</t>
    </r>
    <r>
      <rPr>
        <sz val="10"/>
        <rFont val="Soberana Sans"/>
        <family val="2"/>
      </rPr>
      <t xml:space="preserve"> Causa : El nivel de atención de recetas de medicamentos acumulado a marzo de 2018 muestra una variación positiva de 2.6 puntos porcentuales, respecto del pronóstico al primer trimestre.  Lo anterior, derivado de las estrategias implementadas para la mejora del abasto de medicamentos, la cuales son las siguientes:  La compra consolidada que encabeza el IMSS para atender sus necesidades de medicamentos, vacunas y material de curación, concentra los requerimientos de bienes terapéuticos del Sector Público y de los gobiernos estatales, la cual es una estrategia de compra que ha garantizado el abasto oportuno de bienes de consumo terapéutico en beneficio de la población usuaria.  El esquema de abasto de consumo en demanda consiste en la administración por parte del proveedor de los medicamentos de mayor consumo en los almacenes institucionales, así el proveedor comparte la responsabilidad de mantener el inventario de dichos medicamentos en niveles óptimos a fin de garantizar su abasto oportuno en beneficio de los derechohabientes, el 34.15% del total de piezas de medicamentos contratadas para 2018 se estarán manejando mediante este esquema .  Para el mecanismo de entrega directa en farmacia hospitalaria por parte de la proveeduría, para 2018 se seleccionaron 135 medicamentos de alto costo y alta especialidad, lo que permite una distribución más eficiente; el 0.27% de las piezas de medicamentos contratadas para 2018 se opera  bajo este mecanismo, pero representan el 34.95% del importe contratado total .  El programa Tu Receta es Tu Vale, activa como vale la receta electrónica cuando algún medicamento incluido en el programa no esté disponible en la farmacia de la Unidad de Medicina Familiar, el cual se podrá canjear en cualquiera de las farmacias de las unidades médicas participantes (CDMX; zona Oriente del Estado de México; Guadalajara y Puerto Vallarta, Jalisco), o en los Centros de Canje de Medicamentos destinados para este fin. Efecto: Al primer trimestre de 2018, se atendió el 99.6% de las poco más de 52.5 millones de recetas presentadas en las farmacias del Instituto.  Dentro de los beneficios de la compra consolidada, se obtiene una mayor cantidad de claves de bienes adjudicadas y menos claves desiertas, con lo que se mejora la oportunidad del abasto y se logra una mayor participación de la proveeduría y mayor competencia.  Con los esquemas de consumo en demanda y entrega directa en farmacia hospitalaria se mantiene un abasto oportuno de los insumos, con bajos costos por almacenaje y distribución de medicamentos.   Derivado del Programa Tu Receta es tu Vale, al 31 de marzo del 2018, la Ciudad de México se mantiene en los primeros lugares de abasto a nivel nacional, con un Índice de Atención de Recetas acumulado desde el inicio del programa del 99.66%; se han emitido alrededor de 239,734 vales, de los cuales se han canjeado 95,099 siendo atendidos por el Centro de Canje 42,411 vales, que ha permitido una disminución de quejas en un 95% por falta de medicamentos en las unidades de primer nivel de atención médica y se ha atendido a 39,288 derechohabientes en el Centro de Canje. Otros Motivos:En el Centro de Canje de Medicamentos en Tlalnepantla, Estado de México desde el inicio del programa y al Primer Trimestre del 2018, se han atendido 10,075 derechohabientes con un nivel de satisfacción del 100%, expresado a través de la encuesta aplicada por personal delegacional; se han emitido 107,898 vales y se han canjeado 35,731, de éstos, 11,972 fueron canjeados en este nuevo centro.  El índice de atención de recetas en la Delegación fue de 99.36%.  El 7 de septiembre de 2017, inició operaciones el programa Tu Receta es Tu Vale en la zona metropolitana de la ciudad de Guadalajara, así como en Puerto Vallarta, de la Delegación Jalisco.  En este Estado, participan un total de 28 Unidades de Medicina Familiar de las cuales 6 se han seleccionado para ser reforzadas y participan también 7 hospitales de segundo nivel exclusivamente para el canje de vales.  Al Primer Trimestre 2018, se emitieron 13,899 vales de los cuales se canjearon 1,566  en las Unidades reforzadas; 1,838 en los hospitales de segundo nivel seleccionados; 2,938 en otras Unidades de Medicina Familiar y 75 vales que se atendieron en el nuevo Centro de Canje que inició operaciones el día 12 de febrero de 2018, ubicado en el Centro Médico Nacional de Occidente en la ciudad de Guadalajara, haciendo un total de 6,417 vales canjeados, con una disminución del 98.9% en el número de quejas por falta de medicamentos, con 78 personas derechohabientes atendidas en el Centro de Canje.  </t>
    </r>
  </si>
  <si>
    <r>
      <t xml:space="preserve">Índice consultas de urgencias por 1000 derechohabientes en unidades de segundo nivel    
</t>
    </r>
    <r>
      <rPr>
        <sz val="10"/>
        <rFont val="Soberana Sans"/>
        <family val="2"/>
      </rPr>
      <t xml:space="preserve"> Causa : Con la finalidad de optimizar la utilización del servicio de urgencias, se continua con las siguientes estrategias:  -  mejora de la oportunidad de la atencion mediante la clasificación  de la gravedad de los pacientes  en Triage.                                                                                        - Envío consensuado de pacientes con urgencias sentidas (no reales) a primer nivel para su atención, con supervisión de los acuerdos de gestión entre las unidades de primero y  segundo nivel, para garantizar la atención de estos pacientes  en los servicios de atención médica continua, urgencias o consulta externa de las Unidades de Medicina Familiar de la zona correspondiente. El logro del indicador al mes de enero se encuentra 2.4 por debajo de la meta mensual ajustada  Efecto: Reducción en las atenciones de consulta de los servicios de urgencias. Otros Motivos:El Instituto está implementando una nueva plataforma para el registro de las atenciones en consulta de los servicios de urgencias, lo que ha condicionado ajustes continuos en el sistema de información. La informacion es preeliminar al mes de enero del 2018</t>
    </r>
  </si>
  <si>
    <r>
      <t xml:space="preserve">Total de cirugías electivas programadas en Unidades Médicas de Alta Especialidad    
</t>
    </r>
    <r>
      <rPr>
        <sz val="10"/>
        <rFont val="Soberana Sans"/>
        <family val="2"/>
      </rPr>
      <t xml:space="preserve"> Causa : El logro se encuentra  por debajo  de la meta  esperada debido a que solo se reporta el mes de enero. El primer trimestre se reportara completo en el siguiente  trimestre.  Efecto: Al no tener los resultados completos del tercer trimestre no se puede emitir un análisis.  Para evitar afectación a los derechohabientes se  cuenta con estrategias como el programa prioritario de cirugías de fin de semana y la supervisión de los equipos quirúrgicos efectivos. Otros Motivos: Información solo del mes de enero 2018</t>
    </r>
  </si>
  <si>
    <r>
      <t xml:space="preserve">Total de consultas de  primera vez otorgadas en Unidades Médicas de Alta Especialidad    
</t>
    </r>
    <r>
      <rPr>
        <sz val="10"/>
        <rFont val="Soberana Sans"/>
        <family val="2"/>
      </rPr>
      <t xml:space="preserve"> Causa : El indicador  se encuentra  por debajo de   la meta esperada debido a que solo se reporta enero y febrero y aun continúan con captura de información en la plataforma  denominada SIMO C (Sistema de Información Médica Operativa de Consulta), existe el compromiso de registro de  consultas de primera vez por parte de las UMAE (Unidades Médicas de Alta Especialidad).  Se reporta por la fuente oficial como preliminar.  Efecto: El resultado es menor a la meta establecida, se ha dado mayor auge al programa prioritario de referencia de segundo a tercer nivel, para poder ofrecer  oportunidad a la  consulta de primera vez en las UMAE eficiente y expedita si como contar con evidencia del logro acorde a la capacidad instalada(Unidades Médicas de Alta Especialidad). Otros Motivos:  Información de enero a febrero, información preliminar otorgada por la División de Información en Salud.</t>
    </r>
  </si>
  <si>
    <t>E012</t>
  </si>
  <si>
    <t>Prestaciones sociales</t>
  </si>
  <si>
    <t>9 - Otros de Seguridad Social y Asistencia Social</t>
  </si>
  <si>
    <t>8 - Prestaciones sociales eficientes</t>
  </si>
  <si>
    <t>Contribuir a consolidar las acciones de protección, promoción de la salud y prevención de enfermedades mediante la mejora en el bienestar social de las personas con acceso a seguridad social y servicios de salud por afiliación al IMSS.</t>
  </si>
  <si>
    <r>
      <t>Proporción de personas con acceso a seguridad social que tienen acceso a servicios de salud por afiliación al IMSS.</t>
    </r>
    <r>
      <rPr>
        <i/>
        <sz val="10"/>
        <color indexed="30"/>
        <rFont val="Soberana Sans"/>
      </rPr>
      <t xml:space="preserve">
</t>
    </r>
  </si>
  <si>
    <t>(Personas con acceso a seguridad social y servicios de salud por afiliación al IMSS / Personas en situación de pobreza o vulnerabilidad)*100</t>
  </si>
  <si>
    <t xml:space="preserve">Porcentaje de la población </t>
  </si>
  <si>
    <t>Personas con acceso a seguridad social y servicios de salud por afiliación al IMSS mejoran su bienestar social</t>
  </si>
  <si>
    <r>
      <t>Variación porcentual de satisfacción con la vida reportada por afiliados al IMSS respecto no afiliados al IMSS</t>
    </r>
    <r>
      <rPr>
        <i/>
        <sz val="10"/>
        <color indexed="30"/>
        <rFont val="Soberana Sans"/>
      </rPr>
      <t xml:space="preserve">
</t>
    </r>
  </si>
  <si>
    <t>(Calificación de satisfacción con la vida declarada por afiliados IMSS/ Calificación de satisfacción con la vida declarada por NO afiliados IMSS)-1 *100</t>
  </si>
  <si>
    <t>Variación porcentual</t>
  </si>
  <si>
    <t>Estratégico-Calidad-Bienal</t>
  </si>
  <si>
    <r>
      <t>Índice de prestaciones sociales (IPS)</t>
    </r>
    <r>
      <rPr>
        <i/>
        <sz val="10"/>
        <color indexed="30"/>
        <rFont val="Soberana Sans"/>
      </rPr>
      <t xml:space="preserve">
</t>
    </r>
  </si>
  <si>
    <t>IPS=[(Porcentaje obtenido en el Nivel Integral de Conservación en los Centros Vacacionales)+ (Porcentaje de satisfacción de los servicios otorgados en los Velatorios IMSS-FIBESO )+ (Porcentaje de cursos y talleres impartidos respecto los planeados)]/3</t>
  </si>
  <si>
    <t>Índice</t>
  </si>
  <si>
    <t>Estratégico-Calidad-Anual</t>
  </si>
  <si>
    <t>A Cursos y talleres de capacitación y adiestramiento técnico, promoción de la salud, cultura física y deporte y desarrollo cultural otorgados</t>
  </si>
  <si>
    <r>
      <t>Variación de usuarios de cursos y talleres de capacitación y adiestramiento, promoción de la salud, cultura y deporte y desarrollo cultural realizados respecto al periodo anterior</t>
    </r>
    <r>
      <rPr>
        <i/>
        <sz val="10"/>
        <color indexed="30"/>
        <rFont val="Soberana Sans"/>
      </rPr>
      <t xml:space="preserve">
</t>
    </r>
  </si>
  <si>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</si>
  <si>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B Servicios funerarios prestados</t>
  </si>
  <si>
    <r>
      <t>Variación porcentual de servicios funerarios contratados respecto al mismo periodo del año anterior</t>
    </r>
    <r>
      <rPr>
        <i/>
        <sz val="10"/>
        <color indexed="30"/>
        <rFont val="Soberana Sans"/>
      </rPr>
      <t xml:space="preserve">
</t>
    </r>
  </si>
  <si>
    <t xml:space="preserve">[(Número de servicios contratados en el trimestre n del año t / Número de servicios contratados en el trimestre n del año t-1)-1] * 100 </t>
  </si>
  <si>
    <t>Servicio</t>
  </si>
  <si>
    <t>C Centros Vacacionales que propician actividades de esparcimiento (recreación, deporte e integración) visitados</t>
  </si>
  <si>
    <r>
      <t>Tasa de variación de los usuarios atendidos en los centros vacacionales que propician actividades de esparcimiento</t>
    </r>
    <r>
      <rPr>
        <i/>
        <sz val="10"/>
        <color indexed="30"/>
        <rFont val="Soberana Sans"/>
      </rPr>
      <t xml:space="preserve">
</t>
    </r>
  </si>
  <si>
    <t xml:space="preserve">[(Número de usuarios atendidos en el trimestre n del año t / Número de usuarios atendidos en el trimestre n del año t-1)-1] * 100 </t>
  </si>
  <si>
    <t>A 1 Programar cursos y talleres de desarrollo cultural</t>
  </si>
  <si>
    <r>
      <t>Eficacia en la Planeación y Programación de inscritos a cursos y talleres de Desarrollo Cultural</t>
    </r>
    <r>
      <rPr>
        <i/>
        <sz val="10"/>
        <color indexed="30"/>
        <rFont val="Soberana Sans"/>
      </rPr>
      <t xml:space="preserve">
</t>
    </r>
  </si>
  <si>
    <t>(No. inscritos  a cursos y talleres de Desarrollo Cultural/Programado inscritos  a cursos y talleres de Desarrollo Cultural )*100</t>
  </si>
  <si>
    <t>A 2 Programar cursos y talleres de promoción a la salud</t>
  </si>
  <si>
    <r>
      <t>Eficacia en la Planeación y Programación de inscritos a cursos y talleres de Promoción a la Salud</t>
    </r>
    <r>
      <rPr>
        <i/>
        <sz val="10"/>
        <color indexed="30"/>
        <rFont val="Soberana Sans"/>
      </rPr>
      <t xml:space="preserve">
</t>
    </r>
  </si>
  <si>
    <t>(No. inscritos  a cursos y talleres de Promoción a la Salud/Programado de inscritos a cursos y talleres de Promoción a la Salud )*100</t>
  </si>
  <si>
    <t>A 3 Programar cursos y talleres de Cultura Física y Deporte</t>
  </si>
  <si>
    <r>
      <t>Eficacia en la Planeación y Programación de inscritos a cursos y talleres de Cultura Física y Deporte</t>
    </r>
    <r>
      <rPr>
        <i/>
        <sz val="10"/>
        <color indexed="30"/>
        <rFont val="Soberana Sans"/>
      </rPr>
      <t xml:space="preserve">
</t>
    </r>
  </si>
  <si>
    <t>(No. inscritos  a cursos y talleres Cultura Fisica y Deporte/Programado inscritos a cursos y talleres de Cultura Fisica y Deporte)*100</t>
  </si>
  <si>
    <t>A 4 Programar cursos y talleres de bienestar social</t>
  </si>
  <si>
    <r>
      <t>Eficacia en la Planeación y Programación de inscritos a cursos y talleres de Bienestar Social</t>
    </r>
    <r>
      <rPr>
        <i/>
        <sz val="10"/>
        <color indexed="30"/>
        <rFont val="Soberana Sans"/>
      </rPr>
      <t xml:space="preserve">
</t>
    </r>
  </si>
  <si>
    <t>(No. inscritos a cursos y talleres de Bienestar Social/Programado inscritos a cursos y talleres de Bienestar Social )*100</t>
  </si>
  <si>
    <t>A 5 Programar cursos y talleres de capacitación y adiestramiento técnico</t>
  </si>
  <si>
    <r>
      <t>Eficacia en la Planeación y Programación de inscritos a cursos y talleres de Capacitación y Adistramiento Técnico</t>
    </r>
    <r>
      <rPr>
        <i/>
        <sz val="10"/>
        <color indexed="30"/>
        <rFont val="Soberana Sans"/>
      </rPr>
      <t xml:space="preserve">
</t>
    </r>
  </si>
  <si>
    <t>(No. inscritos  a  cursos y talleres de Capacitación y Adistramiento Técnico/Programado inscritos a  cursos y talleres de Capacitación y Adistramiento Técnico )*100</t>
  </si>
  <si>
    <t>B 6 Supervisión de Velatorios</t>
  </si>
  <si>
    <r>
      <t>Porcentaje de cumplimiento  de visitas de supervisión para velatorios del IMSS</t>
    </r>
    <r>
      <rPr>
        <i/>
        <sz val="10"/>
        <color indexed="30"/>
        <rFont val="Soberana Sans"/>
      </rPr>
      <t xml:space="preserve">
</t>
    </r>
  </si>
  <si>
    <t>(Número de visitas de supervisión realizadas/Número de visitas de supervisión programadas)*100</t>
  </si>
  <si>
    <t>Visita</t>
  </si>
  <si>
    <t>Gestión-Eficacia-Cuatrimestral</t>
  </si>
  <si>
    <t>B 7 Promoción y difusión de servicios funerarios</t>
  </si>
  <si>
    <r>
      <t>Variación de pláticas de promoción y difusión de velatorios respecto al año inmediato anterior</t>
    </r>
    <r>
      <rPr>
        <i/>
        <sz val="10"/>
        <color indexed="30"/>
        <rFont val="Soberana Sans"/>
      </rPr>
      <t xml:space="preserve">
</t>
    </r>
  </si>
  <si>
    <t>(Número de pláticas de promoción y difusión de velatorios realizadas en el periodo t /Número  pláticas de promoción y difusión de velatorios realizadas en el periodo t-1 ) -1 ]* 100</t>
  </si>
  <si>
    <t>C 8 Promoción de servicios de los Centros Vacacionales IMSS</t>
  </si>
  <si>
    <r>
      <t>Porcentaje de personas usuarias que se enteraron de los servicios a través de la promoción y difusión de Centros Vacacionales en Internet</t>
    </r>
    <r>
      <rPr>
        <i/>
        <sz val="10"/>
        <color indexed="30"/>
        <rFont val="Soberana Sans"/>
      </rPr>
      <t xml:space="preserve">
</t>
    </r>
  </si>
  <si>
    <t xml:space="preserve">(Número de personas usuarias que reportaron enterarse del CV a través de Internet en la encuesta de salida/ Número total de personas que contestaron la encuesta al visitar los CV) *100 </t>
  </si>
  <si>
    <r>
      <t>Porcentaje de usuarios que utilizan algún descuento en las tarifas, respecto del total de usuarios registrados</t>
    </r>
    <r>
      <rPr>
        <i/>
        <sz val="10"/>
        <color indexed="30"/>
        <rFont val="Soberana Sans"/>
      </rPr>
      <t xml:space="preserve">
</t>
    </r>
  </si>
  <si>
    <t>(Número de usuarios que utilizan algún descuento en las tarifas de CV  / Número total de usuarios en los CV )*100</t>
  </si>
  <si>
    <t>Usuario</t>
  </si>
  <si>
    <r>
      <t xml:space="preserve">Proporción de personas con acceso a seguridad social que tienen acceso a servicios de salud por afiliación al IMSS.
</t>
    </r>
    <r>
      <rPr>
        <sz val="10"/>
        <rFont val="Soberana Sans"/>
        <family val="2"/>
      </rPr>
      <t>Sin Información,Sin Justificación</t>
    </r>
  </si>
  <si>
    <r>
      <t xml:space="preserve">Variación porcentual de satisfacción con la vida reportada por afiliados al IMSS respecto no afiliados al IMSS
</t>
    </r>
    <r>
      <rPr>
        <sz val="10"/>
        <rFont val="Soberana Sans"/>
        <family val="2"/>
      </rPr>
      <t>Sin Información,Sin Justificación</t>
    </r>
  </si>
  <si>
    <r>
      <t xml:space="preserve">Índice de prestaciones sociales (IPS)
</t>
    </r>
    <r>
      <rPr>
        <sz val="10"/>
        <rFont val="Soberana Sans"/>
        <family val="2"/>
      </rPr>
      <t>Sin Información,Sin Justificación</t>
    </r>
  </si>
  <si>
    <r>
      <t xml:space="preserve">Variación de usuarios de cursos y talleres de capacitación y adiestramiento, promoción de la salud, cultura y deporte y desarrollo cultural realizados respecto al periodo anterior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417,708 personas a nivel nacional, con una buena participación de la población derechohabiente, la cual alcanzó el 45.3% del total de inscritos programados para el trimestre.     Efecto: En el área de Promoción de la Salud y a fin de contribuir a la formación de una cultura de salud, prevenir enfermedades y accidentes e incidir en la superación del nivel de vida, en cursos y talleres, se benefició a 99,080 personas, lo que representó el  28.9 % de la meta programada al trimestre.   En Desarrollo Cultural, se impartieron cursos y talleres en las disciplinas de teatro, danza folclórica, danza creativa, ritmos afrolatinos y baile de salón, música instrumental y vocal, artes visuales y artesanías a 46,609 inscritos, lo que represento un avance del 32.1% de la meta programada para este trimestre.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216 mil 448 inscritos, se logró el 32.7% de la meta programada al primer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55,571 inscritos en el periodo que representa el  25.5% de la meta programada.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</si>
  <si>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Variación porcentual de servicios funerarios contratados respecto al mismo periodo del año anterior
</t>
    </r>
    <r>
      <rPr>
        <sz val="10"/>
        <rFont val="Soberana Sans"/>
        <family val="2"/>
      </rPr>
      <t xml:space="preserve"> Causa : Durante el periodo enero - marzo la tendencia en la captación de servicios con respecto al mismo periodo del ejercicio anterior disminuyó en un 8.03%. Las causas por las que el número de servicios generados durante el periodo que se reporta disminuyeron, son las siguientes:  -Falta de operación de los hornos crematorios en el Velatorio de Tequesquináhuac, a partir de febrero y también se le proporcionaba servicio al Velatorio Ecatepec;  - Falta de promotoría; e   - Incremento de competencia. Efecto: Con respecto a la meta programada de finados para el periodo de enero - marzo del presente ejercicio, se logró un 88.08% de cumplimiento. Otros Motivos:Para alcanzar la meta, se implementarán diversas acciones durante el ejercicio 2018. La acción más importante es incrementar la promoción y difusión de los servicios funerarios entre la población derechohabiente del IMSS y público en general, a través de la cobertura de plazas de promotores del FIBESO.</t>
    </r>
  </si>
  <si>
    <r>
      <t xml:space="preserve">Tasa de variación de los usuarios atendidos en los centros vacacionales que propician actividades de esparcimiento
</t>
    </r>
    <r>
      <rPr>
        <sz val="10"/>
        <rFont val="Soberana Sans"/>
        <family val="2"/>
      </rPr>
      <t xml:space="preserve"> Causa : El período de Semana Santa 2018, se celebró a finales de marzo, lo que contribuyo a superar la meta establecida de usuarios, aun contando con instalaciones cerradas en los Centros Vacacionales derivado de las afectaciones del sismo de septiembre 2017.  Efecto: Se muestra un incremento de 5,370 usuarios por arriba de la meta planteada en este trimestre.   Otros Motivos:</t>
    </r>
  </si>
  <si>
    <r>
      <t xml:space="preserve">Eficacia en la Planeación y Programación de inscritos a cursos y talleres de Desarrollo Cultural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417,708 personas a nivel nacional, con una buena participación de la población derechohabiente, la cual alcanzó el 45.3% del total de inscritos programados para el trimestre.    Efecto: En el área de Promoción de la Salud y a fin de contribuir a la formación de una cultura de salud, prevenir enfermedades y accidentes e incidir en la superación del nivel de vida, en cursos y talleres, se benefició a 99,080 personas, lo que representó el  28.9 % de la meta programada al trimestre.  En Desarrollo Cultural, se impartieron cursos y talleres en las disciplinas de teatro, danza folclórica, danza creativa, ritmos afrolatinos y baile de salón, música instrumental y vocal, artes visuales y artesanías a 46,609 inscritos, lo que represento un avance del 32.1% de la meta programada para este trimestre.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216 mil 448 inscritos, se logró el 32.7% de la meta programada al primer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55,571 inscritos en el periodo que representa el  25.5% de la meta programada.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</si>
  <si>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Promoción a la Salud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417,708 personas a nivel nacional, con una buena participación de la población derechohabiente, la cual alcanzó el 45.3% del total de inscritos programados para el trimestre.    Efecto: En el área de Promoción de la Salud y a fin de contribuir a la formación de una cultura de salud, prevenir enfermedades y accidentes e incidir en la superación del nivel de vida, en cursos y talleres, se benefició a 99,080 personas, lo que representó el  28.9 % de la meta programada al trimestre.  En Desarrollo Cultural, se impartieron cursos y talleres en las disciplinas de teatro, danza folclórica, danza creativa, ritmos afrolatinos y baile de salón, música instrumental y vocal, artes visuales y artesanías a 46,609 inscritos, lo que represento un avance del 32.1% de la meta programada para este trimestre.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216 mil 448 inscritos, se logró el 32.7% de la meta programada al primer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55,571 inscritos en el periodo que representa el  25.5% de la meta programada.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</si>
  <si>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Cultura Física y Deporte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417,708 personas a nivel nacional, con una buena participación de la población derechohabiente, la cual alcanzó el 45.3% del total de inscritos programados para el trimestre.    Efecto: En el área de Promoción de la Salud y a fin de contribuir a la formación de una cultura de salud, prevenir enfermedades y accidentes e incidir en la superación del nivel de vida, en cursos y talleres, se benefició a 99,080 personas, lo que representó el  28.9 % de la meta programada al trimestre.  En Desarrollo Cultural, se impartieron cursos y talleres en las disciplinas de teatro, danza folclórica, danza creativa, ritmos afrolatinos y baile de salón, música instrumental y vocal, artes visuales y artesanías a 46,609 inscritos, lo que represento un avance del 32.1% de la meta programada para este trimestre.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216 mil 448 inscritos, se logró el 32.7% de la meta programada al primer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55,571 inscritos en el periodo que representa el  25.5% de la meta programada.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</si>
  <si>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Bienestar Social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417,708 personas a nivel nacional, con una buena participación de la población derechohabiente, la cual alcanzó el 45.3% del total de inscritos programados para el trimestre.    Efecto: En el área de Promoción de la Salud y a fin de contribuir a la formación de una cultura de salud, prevenir enfermedades y accidentes e incidir en la superación del nivel de vida, en cursos y talleres, se benefició a 99,080 personas, lo que representó el  28.9 % de la meta programada al trimestre.  En Desarrollo Cultural, se impartieron cursos y talleres en las disciplinas de teatro, danza folclórica, danza creativa, ritmos afrolatinos y baile de salón, música instrumental y vocal, artes visuales y artesanías a 46,609 inscritos, lo que represento un avance del 32.1% de la meta programada para este trimestre.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216 mil 448 inscritos, se logró el 32.7% de la meta programada al primer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55,571 inscritos en el periodo que representa el  25.5% de la meta programada.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</si>
  <si>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Eficacia en la Planeación y Programación de inscritos a cursos y talleres de Capacitación y Adistramiento Técnico
</t>
    </r>
    <r>
      <rPr>
        <sz val="10"/>
        <rFont val="Soberana Sans"/>
        <family val="2"/>
      </rPr>
      <t xml:space="preserve"> Causa : El cumplimiento de las metas y objetivos en este trimestre,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417,708 personas a nivel nacional, con una buena participación de la población derechohabiente, la cual alcanzó el 45.3% del total de inscritos programados para el trimestre.    Efecto: En el área de Promoción de la Salud y a fin de contribuir a la formación de una cultura de salud, prevenir enfermedades y accidentes e incidir en la superación del nivel de vida, en cursos y talleres, se benefició a 99,080 personas, lo que representó el  28.9 % de la meta programada al trimestre.  En Desarrollo Cultural, se impartieron cursos y talleres en las disciplinas de teatro, danza folclórica, danza creativa, ritmos afrolatinos y baile de salón, música instrumental y vocal, artes visuales y artesanías a 46,609 inscritos, lo que represento un avance del 32.1% de la meta programada para este trimestre.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216 mil 448 inscritos, se logró el 32.7% de la meta programada al primer trimestre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55,571 inscritos en el periodo que representa el  25.5% de la meta programada.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disminución de actividades del personal, derivado de la simplificación de operaciones, mejora en el registro de información y en consecuencia en la medición de impacto del servicio, mayor cobertura de usuarios.</t>
    </r>
  </si>
  <si>
    <r>
      <t xml:space="preserve">Porcentaje de cumplimiento  de visitas de supervisión para velatorios del IMSS
</t>
    </r>
    <r>
      <rPr>
        <sz val="10"/>
        <rFont val="Soberana Sans"/>
        <family val="2"/>
      </rPr>
      <t>Sin Información,Sin Justificación</t>
    </r>
  </si>
  <si>
    <r>
      <t xml:space="preserve">Variación de pláticas de promoción y difusión de velatorios respecto al año inmediato anterior
</t>
    </r>
    <r>
      <rPr>
        <sz val="10"/>
        <rFont val="Soberana Sans"/>
        <family val="2"/>
      </rPr>
      <t xml:space="preserve"> Causa : Durante el periodo de enero - marzo del presente ejercicio, los Velatorios IMSS incrementaron el número de pláticas respecto al ejercicio anterior, toda vez que los Velatorios de Guadalajara, Monterrey, Pachuca y Tampico realizaron mayor número de pláticas de promoción y difusión de los servicios funerarios, con respecto a las programadas. Efecto: Se incremento el número de pláticas de difusión de los servicios funerarios, pues el personal operativo de los Velatorios en los que no se cuenta con promotores, realizó pláticas logrando una mayor difusión entre la población usuaria en unidades médicas de los servicios que ofrecen los Velatorios IMSS. Otros Motivos:Se prevé continuar con la metodología para realizar pláticas de promoción y lograr que el cumplimiento sea similar entre los Velatorios.</t>
    </r>
  </si>
  <si>
    <r>
      <t xml:space="preserve">Porcentaje de personas usuarias que se enteraron de los servicios a través de la promoción y difusión de Centros Vacacionales en Internet
</t>
    </r>
    <r>
      <rPr>
        <sz val="10"/>
        <rFont val="Soberana Sans"/>
        <family val="2"/>
      </rPr>
      <t xml:space="preserve"> Causa : A partir de enero de 2018, se modificó la metodología de levantamiento de encuestas mediante las cuales se registra esta información. Por ello, los resultados del indicador en este periodo consideran: por un lado, el aumento de personas que se entera de los CV a través de internet, respecto a lo programado (numerador) y por otro lado, el número de encuestas levantadas en el periodo (denominador). Efecto: El avance reportado para este periodo es mayor a lo programado.  Otros Motivos:Se modificarán las metas para los siguientes trimestres.</t>
    </r>
  </si>
  <si>
    <r>
      <t xml:space="preserve">Porcentaje de usuarios que utilizan algún descuento en las tarifas, respecto del total de usuarios registrados
</t>
    </r>
    <r>
      <rPr>
        <sz val="10"/>
        <rFont val="Soberana Sans"/>
        <family val="2"/>
      </rPr>
      <t xml:space="preserve"> Causa : Los derechohabientes y trabajadores están usando los descuentos a los que tienen derecho. Paralelamente, hay una mayor promoción y difusión de los múltiples descuentos que ofrecen los centros vacacionales. Efecto: El 55.89% de los usuarios de los centros vacacionales obtuvieron un descuento. Esto 82.2 mil personas utilizaron un descuento, lo que es mayor a lo esperado de 43.4 mil. Otros Motivos:Si bien el indicador tuvo resultados positivos, el resultado en relación a las metas planteadas es muy grande. Se modificarán las metas planteadas.</t>
    </r>
  </si>
  <si>
    <t>J001</t>
  </si>
  <si>
    <t>Pensiones en curso de pago Ley 1973</t>
  </si>
  <si>
    <t>2 - Edad Avanzada</t>
  </si>
  <si>
    <t>7 - Oportunidad en el pago de las prestaciones económicas</t>
  </si>
  <si>
    <t>Contribuir a fomentar la inclusión, educación, competencia y transparencia de los sistemas financiero, asegurador y de pensiones para incrementar su penetración y cobertura, a la vez que mantengan su solidez y seguridad mediante una mayor cobertura hacia la población derechohabiente con el otorgamiento de una pensión, que garantice un nivel de vida digno para la población mexicana.</t>
  </si>
  <si>
    <r>
      <t>Proporción de Población derechohabiente beneficiada con el otorgamiento de pensión.</t>
    </r>
    <r>
      <rPr>
        <i/>
        <sz val="10"/>
        <color indexed="30"/>
        <rFont val="Soberana Sans"/>
      </rPr>
      <t xml:space="preserve">
</t>
    </r>
  </si>
  <si>
    <t>(Pensionados Totales del régimen 73 y 97 / ( Población derechohabiente familiar de trabajadores asegurados + Población derechohabiente familiar de pensionados y jubilados + Asegurados con derecho a pensión)) * 100</t>
  </si>
  <si>
    <r>
      <t>Ahorro financiero interno</t>
    </r>
    <r>
      <rPr>
        <i/>
        <sz val="10"/>
        <color indexed="30"/>
        <rFont val="Soberana Sans"/>
      </rPr>
      <t xml:space="preserve">
Indicador Seleccionado</t>
    </r>
  </si>
  <si>
    <t>El saldo de los activos financieros en manos de personas físicas y morales (tanto residentes como extranjeros) que son intermediados a través de entidades financieras reguladas en México, y que sirve para otorgar financiamiento al sector privado, al sector público o al sector externo</t>
  </si>
  <si>
    <t>Porcentaje del PIB</t>
  </si>
  <si>
    <t>Pensionados que cobran bajo el esquema de acreditamiento en cuenta bancaria disponen de su pensión desde el día primero de cada mes</t>
  </si>
  <si>
    <r>
      <t>Porcentaje de efectividad en los depósitos bancarios para la nómina de pensionados que cobran por acreditamiento en cuenta bancaria</t>
    </r>
    <r>
      <rPr>
        <i/>
        <sz val="10"/>
        <color indexed="30"/>
        <rFont val="Soberana Sans"/>
      </rPr>
      <t xml:space="preserve">
</t>
    </r>
  </si>
  <si>
    <t>((Total de volantes de las pensiones enviados para pago - Volantes rechazados por errores en cuenta) / Total de volantes de las pensiones enviados para pago) * 100</t>
  </si>
  <si>
    <t>A Pensiones tramitadas dentro del tiempo establecido por el H. Consejo Técnico</t>
  </si>
  <si>
    <r>
      <t>Porcentaje de trámites atendidos oportunamente de las pensiones nuevas</t>
    </r>
    <r>
      <rPr>
        <i/>
        <sz val="10"/>
        <color indexed="30"/>
        <rFont val="Soberana Sans"/>
      </rPr>
      <t xml:space="preserve">
</t>
    </r>
  </si>
  <si>
    <t>(Casos tramitados en 12 días naturales / Casos tramitados) X 100</t>
  </si>
  <si>
    <t>A 1 Dictaminación de solicitudes de pensión</t>
  </si>
  <si>
    <r>
      <t>Porcentaje de solicitudes de pensión concluidas.</t>
    </r>
    <r>
      <rPr>
        <i/>
        <sz val="10"/>
        <color indexed="30"/>
        <rFont val="Soberana Sans"/>
      </rPr>
      <t xml:space="preserve">
</t>
    </r>
  </si>
  <si>
    <t>(Solicitudes de pensión atendidas / Total de solicitudes de pensión registradas ) * 100</t>
  </si>
  <si>
    <r>
      <t xml:space="preserve">Proporción de Población derechohabiente beneficiada con el otorgamiento de pensión.
</t>
    </r>
    <r>
      <rPr>
        <sz val="10"/>
        <rFont val="Soberana Sans"/>
        <family val="2"/>
      </rPr>
      <t>Sin Información,Sin Justificación</t>
    </r>
  </si>
  <si>
    <r>
      <t xml:space="preserve">Ahorro financiero interno
</t>
    </r>
    <r>
      <rPr>
        <sz val="10"/>
        <rFont val="Soberana Sans"/>
        <family val="2"/>
      </rPr>
      <t>Sin Información,Sin Justificación</t>
    </r>
  </si>
  <si>
    <r>
      <t xml:space="preserve">Porcentaje de efectividad en los depósitos bancarios para la nómina de pensionados que cobran por acreditamiento en cuenta bancaria
</t>
    </r>
    <r>
      <rPr>
        <sz val="10"/>
        <rFont val="Soberana Sans"/>
        <family val="2"/>
      </rPr>
      <t>Sin Información,Sin Justificación</t>
    </r>
  </si>
  <si>
    <r>
      <t xml:space="preserve">Porcentaje de trámites atendidos oportunamente de las pensiones nuevas
</t>
    </r>
    <r>
      <rPr>
        <sz val="10"/>
        <rFont val="Soberana Sans"/>
        <family val="2"/>
      </rPr>
      <t>Sin Información,Sin Justificación</t>
    </r>
  </si>
  <si>
    <r>
      <t xml:space="preserve">Porcentaje de solicitudes de pensión concluidas.
</t>
    </r>
    <r>
      <rPr>
        <sz val="10"/>
        <rFont val="Soberana Sans"/>
        <family val="2"/>
      </rPr>
      <t xml:space="preserve"> Causa : Se captura información con el comportamiento de las metas reales. Efecto: Al mes marzo la meta real del indicador se ubicó en 96.3, una diferencia de 1.7 puntos respecto a la meta.   Otros Motivos:Debido a la consolidación de nuevas herramientas  informáticas observo un nivel de cumplimento de 98.3. No obstante a ello, se dará seguimiento al indicador.</t>
    </r>
  </si>
  <si>
    <t>J002</t>
  </si>
  <si>
    <t>Rentas vitalicias Ley 1997</t>
  </si>
  <si>
    <r>
      <t>Proporción de Población derechohabiente beneficiada con el otorgamiento de pensión</t>
    </r>
    <r>
      <rPr>
        <i/>
        <sz val="10"/>
        <color indexed="30"/>
        <rFont val="Soberana Sans"/>
      </rPr>
      <t xml:space="preserve">
</t>
    </r>
  </si>
  <si>
    <t>(Pensionados Totales del régimen 73 y 97 / ( Población derechohabiente familiar de trabajadores asegurados + Población derechohabiente familiar de pensionados y jubilados + Asegurados con derecho a pensión)) * 100.</t>
  </si>
  <si>
    <t>Los pensionados que eligieron Ley del Seguro Social 1997 reciben oportunamente el envío de sus Rentas Vitalicias</t>
  </si>
  <si>
    <r>
      <t>Porcentaje de traspaso oportuno a las aseguradoras de las Sumas Aseguradas para pago de pensiones Ley 97</t>
    </r>
    <r>
      <rPr>
        <i/>
        <sz val="10"/>
        <color indexed="30"/>
        <rFont val="Soberana Sans"/>
      </rPr>
      <t xml:space="preserve">
</t>
    </r>
  </si>
  <si>
    <t>(Casos enviados a las aseguradoras al día hábil siguiente de su recepción / Total de casos recibidos para envió a las aseguradoras) * 100</t>
  </si>
  <si>
    <t>A Rentas vitalicias de la Ley del Seguro Social 1997 tramitadas oportunamente</t>
  </si>
  <si>
    <r>
      <t>Porcentaje de rentas vitalicias que se tramitan oportunamente.</t>
    </r>
    <r>
      <rPr>
        <i/>
        <sz val="10"/>
        <color indexed="30"/>
        <rFont val="Soberana Sans"/>
      </rPr>
      <t xml:space="preserve">
</t>
    </r>
  </si>
  <si>
    <t>A 1 Recepción y verificación de solicitudes de pensión para su trámite.</t>
  </si>
  <si>
    <r>
      <t xml:space="preserve">Proporción de Población derechohabiente beneficiada con el otorgamiento de pensión
</t>
    </r>
    <r>
      <rPr>
        <sz val="10"/>
        <rFont val="Soberana Sans"/>
        <family val="2"/>
      </rPr>
      <t>Sin Información,Sin Justificación</t>
    </r>
  </si>
  <si>
    <r>
      <t xml:space="preserve">Porcentaje de traspaso oportuno a las aseguradoras de las Sumas Aseguradas para pago de pensiones Ley 97
</t>
    </r>
    <r>
      <rPr>
        <sz val="10"/>
        <rFont val="Soberana Sans"/>
        <family val="2"/>
      </rPr>
      <t>Sin Información,Sin Justificación</t>
    </r>
  </si>
  <si>
    <r>
      <t xml:space="preserve">Porcentaje de rentas vitalicias que se tramitan oportunamente.
</t>
    </r>
    <r>
      <rPr>
        <sz val="10"/>
        <rFont val="Soberana Sans"/>
        <family val="2"/>
      </rPr>
      <t>Sin Información,Sin Justificación</t>
    </r>
  </si>
  <si>
    <t>J004</t>
  </si>
  <si>
    <t>Pago de subsidios a los asegurados</t>
  </si>
  <si>
    <t>1 - Enfermedad e incapacidad</t>
  </si>
  <si>
    <t>Contribuir a fomentar la inclusión, educación, competencia y transparencia de los sistemas financiero, asegurador y de pensiones para incrementar su penetración y cobertura, a la vez que mantengan su solidez y seguridad. mediante la disponibilidad del pago de subsidio a través de los recursos transferidos a las instituciones bancarias.</t>
  </si>
  <si>
    <r>
      <t>Financiamiento interno al sector privado</t>
    </r>
    <r>
      <rPr>
        <i/>
        <sz val="10"/>
        <color indexed="30"/>
        <rFont val="Soberana Sans"/>
      </rPr>
      <t xml:space="preserve">
Indicador Seleccionado</t>
    </r>
  </si>
  <si>
    <t>Incluye el financiamiento a la actividad empresarial, consumo y vivienda, canalizado por la banca comercial, banca de desarrollo, mercado de deuda y capitales, INFONAVIT, FOVISSSTE, FONACOT, Sofoles (hasta julio de 2013), Sofomes Reguladas y Sofomes No Reguladas que emiten deuda en el mercado de valores, entidades de ahorro y crédito popular, uniones de crédito, organizaciones auxiliares del crédito y Financiera Rural</t>
  </si>
  <si>
    <r>
      <t>Proporción de la población asegurada beneficiada con un ingreso por concepto de pago de subsidio por Incapacidad</t>
    </r>
    <r>
      <rPr>
        <i/>
        <sz val="10"/>
        <color indexed="30"/>
        <rFont val="Soberana Sans"/>
      </rPr>
      <t xml:space="preserve">
</t>
    </r>
  </si>
  <si>
    <t>(Certificados Iniciales del periodo / la Poblacion Asegurada con derecho a Subsidio) * 100</t>
  </si>
  <si>
    <t>Los asegurados disponen del pago de subsidio a través de los recursos transferidos a las instituciones bancarias.</t>
  </si>
  <si>
    <r>
      <t>Porcentaje de casos dispuestos en ventanilla de la institución bancaría para cobro del subsidio por el asegurado en un plazo máximo de 3 días.</t>
    </r>
    <r>
      <rPr>
        <i/>
        <sz val="10"/>
        <color indexed="30"/>
        <rFont val="Soberana Sans"/>
      </rPr>
      <t xml:space="preserve">
</t>
    </r>
  </si>
  <si>
    <t>Total de incapacidades enviadas a ventanilla con un plazo de máximo de 3 día / Total de incapacidades autorizadas en el mes X 100</t>
  </si>
  <si>
    <t>A Incapacidades nominativas tramitadas dentro del tiempo oportuno.</t>
  </si>
  <si>
    <r>
      <t xml:space="preserve">Proporción de casos tramitados oportunos de las incapacidades nominativas con pago  </t>
    </r>
    <r>
      <rPr>
        <i/>
        <sz val="10"/>
        <color indexed="30"/>
        <rFont val="Soberana Sans"/>
      </rPr>
      <t xml:space="preserve">
</t>
    </r>
  </si>
  <si>
    <t>(Casos nominativos tramitados en términos de 7 días naturales / Total de casos nominativos) X 100</t>
  </si>
  <si>
    <t>A 1 Recepción y captura de incapacidades con derecho a subsidio que se reciben para su pago.</t>
  </si>
  <si>
    <r>
      <t>Total de Certificados de Incapacidad subsidiados.</t>
    </r>
    <r>
      <rPr>
        <i/>
        <sz val="10"/>
        <color indexed="30"/>
        <rFont val="Soberana Sans"/>
      </rPr>
      <t xml:space="preserve">
</t>
    </r>
  </si>
  <si>
    <t>Suma (Certificados subsidiados totales)</t>
  </si>
  <si>
    <t>Certificados subsidiados</t>
  </si>
  <si>
    <t>Gestión-Eficiencia-Mensual</t>
  </si>
  <si>
    <r>
      <t xml:space="preserve">Financiamiento interno al sector privado
</t>
    </r>
    <r>
      <rPr>
        <sz val="10"/>
        <rFont val="Soberana Sans"/>
        <family val="2"/>
      </rPr>
      <t>Sin Información,Sin Justificación</t>
    </r>
  </si>
  <si>
    <r>
      <t xml:space="preserve">Proporción de la población asegurada beneficiada con un ingreso por concepto de pago de subsidio por Incapacidad
</t>
    </r>
    <r>
      <rPr>
        <sz val="10"/>
        <rFont val="Soberana Sans"/>
        <family val="2"/>
      </rPr>
      <t>Sin Información,Sin Justificación</t>
    </r>
  </si>
  <si>
    <r>
      <t xml:space="preserve">Porcentaje de casos dispuestos en ventanilla de la institución bancaría para cobro del subsidio por el asegurado en un plazo máximo de 3 días.
</t>
    </r>
    <r>
      <rPr>
        <sz val="10"/>
        <rFont val="Soberana Sans"/>
        <family val="2"/>
      </rPr>
      <t>Sin Información,Sin Justificación</t>
    </r>
  </si>
  <si>
    <r>
      <t xml:space="preserve">Proporción de casos tramitados oportunos de las incapacidades nominativas con pago  
</t>
    </r>
    <r>
      <rPr>
        <sz val="10"/>
        <rFont val="Soberana Sans"/>
        <family val="2"/>
      </rPr>
      <t>Sin Información,Sin Justificación</t>
    </r>
  </si>
  <si>
    <r>
      <t xml:space="preserve">Total de Certificados de Incapacidad subsidiados.
</t>
    </r>
    <r>
      <rPr>
        <sz val="10"/>
        <rFont val="Soberana Sans"/>
        <family val="2"/>
      </rPr>
      <t xml:space="preserve"> Causa : Se captura información con el comportamiento de las metas reales.   Efecto: Al mesmarzola meta real se ubicó en 1,378,831 incapacidades con derecho a pago de subsidio, una diferencia de 18,824 respecto a la meta establecida.   Otros Motivos:Debido a la consolidación de nuevas herramientas  informáticas de IMSS digital, el nivel de cumplimiento se ubica en 101.4, una variación de  1.4% en las incapacidades expedidas respecto a la meta esperada.  </t>
    </r>
  </si>
  <si>
    <t>K012</t>
  </si>
  <si>
    <t>Proyectos de infraestructura social de asistencia y seguridad social</t>
  </si>
  <si>
    <t>Contribuir a asegurar la generación y el uso efectivo de los recursos en salud mediante la planeación y uso efectivo de los recursos de infraestructura y equipamiento.</t>
  </si>
  <si>
    <r>
      <t>Metros cuadrados de construcción</t>
    </r>
    <r>
      <rPr>
        <i/>
        <sz val="10"/>
        <color indexed="30"/>
        <rFont val="Soberana Sans"/>
      </rPr>
      <t xml:space="preserve">
</t>
    </r>
  </si>
  <si>
    <t>Suma de los metros cuadrados construidos</t>
  </si>
  <si>
    <t>Metro cuadrado</t>
  </si>
  <si>
    <r>
      <t>Porcentaje de gasto público en salud destinado a la provisión de atención médica y salud pública extramuros</t>
    </r>
    <r>
      <rPr>
        <i/>
        <sz val="10"/>
        <color indexed="30"/>
        <rFont val="Soberana Sans"/>
      </rPr>
      <t xml:space="preserve">
Indicador Seleccionado</t>
    </r>
  </si>
  <si>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</si>
  <si>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La población objetivo es beneficiada con el incremento proporcional de infraestructura médica</t>
  </si>
  <si>
    <r>
      <t>Tasa de variación de incremento de metros cuadrados construidos</t>
    </r>
    <r>
      <rPr>
        <i/>
        <sz val="10"/>
        <color indexed="30"/>
        <rFont val="Soberana Sans"/>
      </rPr>
      <t xml:space="preserve">
</t>
    </r>
  </si>
  <si>
    <t>{Metros cuadrados construidos 2016 / [Suma metros cuadrados construidos período (2010 a 2015)]}*100</t>
  </si>
  <si>
    <t>A Infraestructura terminada.</t>
  </si>
  <si>
    <r>
      <t>Porcentaje de obras terminadas</t>
    </r>
    <r>
      <rPr>
        <i/>
        <sz val="10"/>
        <color indexed="30"/>
        <rFont val="Soberana Sans"/>
      </rPr>
      <t xml:space="preserve">
</t>
    </r>
  </si>
  <si>
    <t>(Obras entregadas / obras autorizadas) * 100</t>
  </si>
  <si>
    <t>A 1 Planeación, diseño, construcción de la infraestructura.</t>
  </si>
  <si>
    <r>
      <t>Porcentaje de avance de Obras</t>
    </r>
    <r>
      <rPr>
        <i/>
        <sz val="10"/>
        <color indexed="30"/>
        <rFont val="Soberana Sans"/>
      </rPr>
      <t xml:space="preserve">
</t>
    </r>
  </si>
  <si>
    <t>(Porcentaje realizado / porcentaje programado) * 100</t>
  </si>
  <si>
    <r>
      <t xml:space="preserve">Metros cuadrados de construcción
</t>
    </r>
    <r>
      <rPr>
        <sz val="10"/>
        <rFont val="Soberana Sans"/>
        <family val="2"/>
      </rPr>
      <t>Sin Información,Sin Justificación</t>
    </r>
  </si>
  <si>
    <r>
      <t xml:space="preserve">Porcentaje de gasto público en salud destinado a la provisión de atención médica y salud pública extramuros
</t>
    </r>
    <r>
      <rPr>
        <sz val="10"/>
        <rFont val="Soberana Sans"/>
        <family val="2"/>
      </rPr>
      <t>Sin Información,Sin Justificación</t>
    </r>
  </si>
  <si>
    <r>
      <t xml:space="preserve">Tasa de variación de incremento de metros cuadrados construidos
</t>
    </r>
    <r>
      <rPr>
        <sz val="10"/>
        <rFont val="Soberana Sans"/>
        <family val="2"/>
      </rPr>
      <t>Sin Información,Sin Justificación</t>
    </r>
  </si>
  <si>
    <r>
      <t xml:space="preserve">Porcentaje de obras terminadas
</t>
    </r>
    <r>
      <rPr>
        <sz val="10"/>
        <rFont val="Soberana Sans"/>
        <family val="2"/>
      </rPr>
      <t>Sin Información,Sin Justificación</t>
    </r>
  </si>
  <si>
    <r>
      <t xml:space="preserve">Porcentaje de avance de Obras
</t>
    </r>
    <r>
      <rPr>
        <sz val="10"/>
        <rFont val="Soberana Sans"/>
        <family val="2"/>
      </rPr>
      <t xml:space="preserve"> Causa : Se cumplió con la meta esperada Efecto: Se cumplió con la meta esperada Otros Motivos:</t>
    </r>
  </si>
  <si>
    <t>K029</t>
  </si>
  <si>
    <t>Programas de adquisiciones</t>
  </si>
  <si>
    <t>Contribuir a asegurar la generación y el uso efectivo de los recursos en salud mediante la sustitución del equipo deteriorado de las Unidades del Instituto, para brindar servicios oportunos y de calidad a la población derechohabiente.</t>
  </si>
  <si>
    <t>Las unidades medicas y no medicas del Instituto cuentan con el equipamiento necesario para otorgar atención de calidad a los usuarios.</t>
  </si>
  <si>
    <r>
      <t>Impacto de los equipos médicos recibidos, en la atención a los derechohabientes en las Unidades Médicas del Instituto.</t>
    </r>
    <r>
      <rPr>
        <i/>
        <sz val="10"/>
        <color indexed="30"/>
        <rFont val="Soberana Sans"/>
      </rPr>
      <t xml:space="preserve">
</t>
    </r>
  </si>
  <si>
    <t>Promedio de la puntuación obtenida en la Encuesta Nacional de Equipo Médico Adquirido.</t>
  </si>
  <si>
    <t>Promedio</t>
  </si>
  <si>
    <r>
      <t>Porcentaje de unidades beneficiadas con los bienes de inversión adquiridos</t>
    </r>
    <r>
      <rPr>
        <i/>
        <sz val="10"/>
        <color indexed="30"/>
        <rFont val="Soberana Sans"/>
      </rPr>
      <t xml:space="preserve">
</t>
    </r>
  </si>
  <si>
    <t>(Cantidad de Unidades Total / Cantidad de Unidades Beneficiada)*100</t>
  </si>
  <si>
    <t>A Equipos médicos y no médicos operando en las Unidades del Instituto.</t>
  </si>
  <si>
    <r>
      <t>Porcentaje de recepción de equipo adquirido</t>
    </r>
    <r>
      <rPr>
        <i/>
        <sz val="10"/>
        <color indexed="30"/>
        <rFont val="Soberana Sans"/>
      </rPr>
      <t xml:space="preserve">
</t>
    </r>
  </si>
  <si>
    <t>(Número de equipos recibidos / Total de equipos adquiridos) x 100</t>
  </si>
  <si>
    <r>
      <t xml:space="preserve">Porcentaje de equipos no médicos  instalados, funcionando y puestos en operación  </t>
    </r>
    <r>
      <rPr>
        <i/>
        <sz val="10"/>
        <color indexed="30"/>
        <rFont val="Soberana Sans"/>
      </rPr>
      <t xml:space="preserve">
</t>
    </r>
  </si>
  <si>
    <t>(Equipos no médicos instalados / Equipos no médicos autorizados)*100</t>
  </si>
  <si>
    <t>A 1 Integración de los requerimientos de sustitución de equipo médico y no médico de las Unidades del Instituto.</t>
  </si>
  <si>
    <r>
      <t>Porcentaje de requerimientos y detección de necesidades de sustitución de equipo no médico en las Unidades del Ámbito Institucional.</t>
    </r>
    <r>
      <rPr>
        <i/>
        <sz val="10"/>
        <color indexed="30"/>
        <rFont val="Soberana Sans"/>
      </rPr>
      <t xml:space="preserve">
</t>
    </r>
  </si>
  <si>
    <t>(Número de solicitudes de requerimiento autorizado / Numero de requerimientos recibidos)*100</t>
  </si>
  <si>
    <r>
      <t>Porcentaje de requerimientos actualizados</t>
    </r>
    <r>
      <rPr>
        <i/>
        <sz val="10"/>
        <color indexed="30"/>
        <rFont val="Soberana Sans"/>
      </rPr>
      <t xml:space="preserve">
</t>
    </r>
  </si>
  <si>
    <t>(Número de solicitudes de requerimiento validadas / Numero de requerimientos recibidos)*100</t>
  </si>
  <si>
    <t>Gestión-Eficiencia-Anual</t>
  </si>
  <si>
    <t>A 2 Adjudicación del suministro de los equipos de sustitución, médicos y no médicos en las Unidades del Instituto</t>
  </si>
  <si>
    <r>
      <t xml:space="preserve">Porcentaje de adquisición de equipo médico </t>
    </r>
    <r>
      <rPr>
        <i/>
        <sz val="10"/>
        <color indexed="30"/>
        <rFont val="Soberana Sans"/>
      </rPr>
      <t xml:space="preserve">
</t>
    </r>
  </si>
  <si>
    <t xml:space="preserve">(Número de equipos adjudicados/ Total de equipos incorporados en los procesos de adquisición) * 100 </t>
  </si>
  <si>
    <r>
      <t>Porcentaje de expedientes que llegan a fallo integrados para la planeación e integración del Programa de Adquisiciones</t>
    </r>
    <r>
      <rPr>
        <i/>
        <sz val="10"/>
        <color indexed="30"/>
        <rFont val="Soberana Sans"/>
      </rPr>
      <t xml:space="preserve">
</t>
    </r>
  </si>
  <si>
    <t>(Cantidad de expedientes de sustitución de equipo no médico, que llegan a fallo / Cantidad de expedientes concluidos)*100</t>
  </si>
  <si>
    <r>
      <t xml:space="preserve">Impacto de los equipos médicos recibidos, en la atención a los derechohabientes en las Unidades Médicas del Instituto.
</t>
    </r>
    <r>
      <rPr>
        <sz val="10"/>
        <rFont val="Soberana Sans"/>
        <family val="2"/>
      </rPr>
      <t>Sin Información,Sin Justificación</t>
    </r>
  </si>
  <si>
    <r>
      <t xml:space="preserve">Porcentaje de unidades beneficiadas con los bienes de inversión adquiridos
</t>
    </r>
    <r>
      <rPr>
        <sz val="10"/>
        <rFont val="Soberana Sans"/>
        <family val="2"/>
      </rPr>
      <t>Sin Información,Sin Justificación</t>
    </r>
  </si>
  <si>
    <r>
      <t xml:space="preserve">Porcentaje de recepción de equipo adquirido
</t>
    </r>
    <r>
      <rPr>
        <sz val="10"/>
        <rFont val="Soberana Sans"/>
        <family val="2"/>
      </rPr>
      <t>Sin Información,Sin Justificación</t>
    </r>
  </si>
  <si>
    <r>
      <t xml:space="preserve">Porcentaje de equipos no médicos  instalados, funcionando y puestos en operación  
</t>
    </r>
    <r>
      <rPr>
        <sz val="10"/>
        <rFont val="Soberana Sans"/>
        <family val="2"/>
      </rPr>
      <t>Sin Información,Sin Justificación</t>
    </r>
  </si>
  <si>
    <r>
      <t xml:space="preserve">Porcentaje de requerimientos y detección de necesidades de sustitución de equipo no médico en las Unidades del Ámbito Institucional.
</t>
    </r>
    <r>
      <rPr>
        <sz val="10"/>
        <rFont val="Soberana Sans"/>
        <family val="2"/>
      </rPr>
      <t>Sin Información,Sin Justificación</t>
    </r>
  </si>
  <si>
    <r>
      <t xml:space="preserve">Porcentaje de requerimientos actualizados
</t>
    </r>
    <r>
      <rPr>
        <sz val="10"/>
        <rFont val="Soberana Sans"/>
        <family val="2"/>
      </rPr>
      <t>Sin Información,Sin Justificación</t>
    </r>
  </si>
  <si>
    <r>
      <t xml:space="preserve">Porcentaje de adquisición de equipo médico 
</t>
    </r>
    <r>
      <rPr>
        <sz val="10"/>
        <rFont val="Soberana Sans"/>
        <family val="2"/>
      </rPr>
      <t>Sin Información,Sin Justificación</t>
    </r>
  </si>
  <si>
    <r>
      <t xml:space="preserve">Porcentaje de expedientes que llegan a fallo integrados para la planeación e integración del Programa de Adquisiciones
</t>
    </r>
    <r>
      <rPr>
        <sz val="10"/>
        <rFont val="Soberana Sans"/>
        <family val="2"/>
      </rPr>
      <t>Sin Información,Sin Justificación</t>
    </r>
  </si>
  <si>
    <t>Reporte de avance de los Indicadores de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</si>
</sst>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0"/>
      <name val="Soberana Sans"/>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8" fillId="0" borderId="16"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8" fillId="36" borderId="2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4" fontId="19" fillId="0" borderId="40" xfId="0" applyNumberFormat="1" applyFont="1" applyBorder="1" applyAlignment="1">
      <alignment horizontal="right" vertical="top" wrapText="1"/>
    </xf>
    <xf numFmtId="164" fontId="0" fillId="0" borderId="41" xfId="0" applyNumberFormat="1" applyBorder="1" applyAlignment="1">
      <alignment horizontal="right" vertical="top" wrapText="1"/>
    </xf>
    <xf numFmtId="0" fontId="18" fillId="0" borderId="42" xfId="0" applyFont="1" applyFill="1" applyBorder="1" applyAlignment="1">
      <alignment vertical="top" wrapText="1"/>
    </xf>
    <xf numFmtId="4" fontId="19" fillId="0" borderId="43" xfId="0" applyNumberFormat="1" applyFont="1" applyBorder="1" applyAlignment="1">
      <alignment horizontal="right" vertical="top" wrapText="1"/>
    </xf>
    <xf numFmtId="3"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4" fontId="0" fillId="0" borderId="52" xfId="0" applyNumberFormat="1" applyFill="1" applyBorder="1" applyAlignment="1">
      <alignment horizontal="right" vertical="top" wrapText="1"/>
    </xf>
    <xf numFmtId="164" fontId="19" fillId="0" borderId="53" xfId="0" applyNumberFormat="1" applyFont="1" applyFill="1" applyBorder="1" applyAlignment="1">
      <alignment horizontal="right"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3" fontId="19" fillId="0" borderId="40" xfId="0" applyNumberFormat="1" applyFont="1" applyBorder="1" applyAlignment="1">
      <alignment horizontal="right" vertical="top" wrapText="1"/>
    </xf>
    <xf numFmtId="0" fontId="28" fillId="33" borderId="0" xfId="0" applyFont="1" applyFill="1" applyAlignment="1">
      <alignment horizontal="center" vertical="center" wrapText="1"/>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18" fillId="0" borderId="42"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60"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6"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0" fillId="0" borderId="43" xfId="0" applyFill="1" applyBorder="1" applyAlignment="1">
      <alignment horizontal="justify" vertical="top" wrapText="1"/>
    </xf>
    <xf numFmtId="0" fontId="0" fillId="0" borderId="40" xfId="0" applyFill="1" applyBorder="1" applyAlignment="1">
      <alignment horizontal="justify" vertical="top" wrapText="1"/>
    </xf>
    <xf numFmtId="0" fontId="18" fillId="36" borderId="22"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0" xfId="0" applyFont="1" applyFill="1" applyBorder="1" applyAlignment="1">
      <alignment horizontal="center" vertical="top" wrapText="1"/>
    </xf>
    <xf numFmtId="0" fontId="18" fillId="36" borderId="26"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9" fillId="0" borderId="17" xfId="0" applyFont="1" applyBorder="1" applyAlignment="1">
      <alignment horizontal="justify" vertical="top" wrapText="1"/>
    </xf>
    <xf numFmtId="0" fontId="19" fillId="0" borderId="18" xfId="0" applyFont="1" applyBorder="1" applyAlignment="1">
      <alignment horizontal="justify" vertical="top" wrapText="1"/>
    </xf>
    <xf numFmtId="0" fontId="18" fillId="36" borderId="19"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0"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8"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29" fillId="33" borderId="0" xfId="0" applyFont="1" applyFill="1" applyAlignment="1">
      <alignment horizontal="center" vertical="center" wrapText="1"/>
    </xf>
    <xf numFmtId="0" fontId="30" fillId="0" borderId="0" xfId="0" applyFont="1" applyBorder="1" applyAlignment="1">
      <alignment horizontal="justify"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tabSelected="1" view="pageBreakPreview" zoomScale="80" zoomScaleNormal="80" zoomScaleSheetLayoutView="80" workbookViewId="0">
      <selection activeCell="B2" sqref="B2"/>
    </sheetView>
  </sheetViews>
  <sheetFormatPr baseColWidth="10" defaultColWidth="5" defaultRowHeight="12.75" x14ac:dyDescent="0.2"/>
  <cols>
    <col min="1" max="1" width="3.5" style="1" customWidth="1"/>
    <col min="2" max="16384" width="5" style="1"/>
  </cols>
  <sheetData>
    <row r="1" spans="2:30" s="2" customFormat="1" ht="48" customHeight="1" x14ac:dyDescent="0.2">
      <c r="B1" s="55" t="s">
        <v>583</v>
      </c>
      <c r="C1" s="55"/>
      <c r="D1" s="55"/>
      <c r="E1" s="55"/>
      <c r="F1" s="55"/>
      <c r="G1" s="55"/>
      <c r="H1" s="55"/>
      <c r="I1" s="55"/>
      <c r="J1" s="55"/>
      <c r="K1" s="55"/>
      <c r="L1" s="55"/>
      <c r="M1" s="55"/>
      <c r="N1" s="55"/>
      <c r="O1" s="55"/>
      <c r="P1" s="55"/>
      <c r="Q1" s="3" t="s">
        <v>0</v>
      </c>
    </row>
    <row r="2" spans="2:30" ht="13.5" customHeight="1" x14ac:dyDescent="0.2"/>
    <row r="3" spans="2:30" ht="13.5" customHeight="1" x14ac:dyDescent="0.2"/>
    <row r="4" spans="2:30" ht="13.5" customHeight="1" x14ac:dyDescent="0.2"/>
    <row r="5" spans="2:30" ht="13.5" customHeight="1" x14ac:dyDescent="0.2"/>
    <row r="6" spans="2:30" ht="13.5" customHeight="1" x14ac:dyDescent="0.2"/>
    <row r="7" spans="2:30" ht="13.5" customHeight="1" x14ac:dyDescent="0.2"/>
    <row r="8" spans="2:30" ht="13.5" customHeight="1" x14ac:dyDescent="0.2"/>
    <row r="9" spans="2:30" ht="13.5" customHeight="1" x14ac:dyDescent="0.2"/>
    <row r="10" spans="2:30" ht="13.5" customHeight="1" x14ac:dyDescent="0.2"/>
    <row r="11" spans="2:30" ht="13.5" customHeight="1" x14ac:dyDescent="0.2">
      <c r="B11" s="56" t="s">
        <v>1</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row>
    <row r="12" spans="2:30" ht="13.5" customHeight="1" x14ac:dyDescent="0.2">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row>
    <row r="13" spans="2:30" ht="13.5" customHeight="1" x14ac:dyDescent="0.2">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row>
    <row r="14" spans="2:30" ht="13.5" customHeight="1" x14ac:dyDescent="0.2">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row>
    <row r="15" spans="2:30" ht="13.5" customHeight="1" x14ac:dyDescent="0.2">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row>
    <row r="16" spans="2:30" ht="13.5" customHeight="1" x14ac:dyDescent="0.2">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row>
    <row r="17" spans="2:30" ht="13.5" customHeight="1" x14ac:dyDescent="0.2">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row>
    <row r="18" spans="2:30" ht="13.5" customHeight="1" x14ac:dyDescent="0.2">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row>
    <row r="19" spans="2:30" ht="13.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row>
    <row r="20" spans="2:30" ht="13.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row>
    <row r="21" spans="2:30" ht="13.5" customHeight="1" x14ac:dyDescent="0.2">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row>
    <row r="22" spans="2:30" ht="13.5" customHeight="1" x14ac:dyDescent="0.2">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row>
    <row r="23" spans="2:30" ht="13.5" customHeight="1" x14ac:dyDescent="0.2">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row>
    <row r="24" spans="2:30" ht="13.5" customHeight="1" x14ac:dyDescent="0.2">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row>
    <row r="25" spans="2:30" ht="13.5" customHeight="1" x14ac:dyDescent="0.2">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row>
    <row r="26" spans="2:30" ht="13.5" customHeight="1" x14ac:dyDescent="0.2">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row>
    <row r="27" spans="2:30" ht="13.5" customHeight="1" x14ac:dyDescent="0.2">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row>
    <row r="28" spans="2:30" ht="13.5" customHeight="1" x14ac:dyDescent="0.2">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row>
    <row r="29" spans="2:30" ht="13.5" customHeight="1" x14ac:dyDescent="0.2">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row>
    <row r="30" spans="2:30" ht="13.5" customHeight="1" x14ac:dyDescent="0.2">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row>
    <row r="31" spans="2:30" ht="13.5" customHeight="1" x14ac:dyDescent="0.2">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row>
    <row r="32" spans="2:30" ht="13.5" customHeight="1" x14ac:dyDescent="0.2">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row>
    <row r="33" spans="2:30" ht="13.5" customHeight="1" x14ac:dyDescent="0.2">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row>
    <row r="34" spans="2:30" ht="13.5" customHeight="1" x14ac:dyDescent="0.2">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row>
    <row r="35" spans="2:30" ht="13.5" customHeight="1" x14ac:dyDescent="0.2"/>
    <row r="36" spans="2:30" ht="13.5" customHeight="1" x14ac:dyDescent="0.2"/>
    <row r="37" spans="2:30" ht="13.5" customHeight="1" x14ac:dyDescent="0.2"/>
    <row r="38" spans="2:30" ht="13.5" customHeight="1" x14ac:dyDescent="0.2"/>
    <row r="39" spans="2:30" ht="13.5" customHeight="1" x14ac:dyDescent="0.2"/>
    <row r="40" spans="2:30" ht="13.5" customHeight="1" x14ac:dyDescent="0.2"/>
    <row r="41" spans="2:30" ht="13.5" customHeight="1" x14ac:dyDescent="0.2"/>
    <row r="42" spans="2:30" ht="13.5" customHeight="1" x14ac:dyDescent="0.2"/>
    <row r="43" spans="2:30" ht="13.5" customHeight="1" x14ac:dyDescent="0.2"/>
    <row r="44" spans="2:30" ht="13.5" customHeight="1" x14ac:dyDescent="0.2"/>
    <row r="45" spans="2:30" ht="13.5" customHeight="1" x14ac:dyDescent="0.2"/>
    <row r="46" spans="2:30" ht="13.5" customHeight="1" x14ac:dyDescent="0.2"/>
    <row r="47" spans="2:30" ht="13.5" customHeight="1" x14ac:dyDescent="0.2"/>
    <row r="48" spans="2:30" ht="13.5" customHeight="1" x14ac:dyDescent="0.2"/>
    <row r="49" spans="4:28" ht="20.25" customHeight="1" x14ac:dyDescent="0.2">
      <c r="D49" s="57" t="s">
        <v>2</v>
      </c>
      <c r="E49" s="57"/>
      <c r="F49" s="57"/>
      <c r="G49" s="57"/>
      <c r="H49" s="57"/>
      <c r="I49" s="57"/>
      <c r="J49" s="57"/>
      <c r="K49" s="57"/>
      <c r="L49" s="57"/>
      <c r="M49" s="57"/>
      <c r="N49" s="57"/>
      <c r="O49" s="57"/>
      <c r="P49" s="57"/>
      <c r="Q49" s="57"/>
      <c r="R49" s="57"/>
      <c r="S49" s="57"/>
      <c r="T49" s="57"/>
      <c r="U49" s="57"/>
      <c r="V49" s="57"/>
      <c r="W49" s="57"/>
      <c r="X49" s="57"/>
      <c r="Y49" s="57"/>
      <c r="Z49" s="57"/>
      <c r="AA49" s="57"/>
      <c r="AB49" s="57"/>
    </row>
    <row r="50" spans="4:28" ht="13.5" customHeight="1" x14ac:dyDescent="0.2">
      <c r="D50" s="58" t="s">
        <v>3</v>
      </c>
      <c r="E50" s="58"/>
      <c r="F50" s="58"/>
      <c r="G50" s="58"/>
      <c r="H50" s="58"/>
      <c r="I50" s="58"/>
      <c r="J50" s="58"/>
      <c r="K50" s="58"/>
      <c r="L50" s="58"/>
      <c r="M50" s="58"/>
      <c r="N50" s="58"/>
      <c r="O50" s="58"/>
      <c r="P50" s="58"/>
      <c r="Q50" s="58"/>
      <c r="R50" s="58"/>
      <c r="S50" s="58"/>
      <c r="T50" s="58"/>
      <c r="U50" s="58"/>
      <c r="V50" s="58"/>
      <c r="W50" s="58"/>
      <c r="X50" s="58"/>
      <c r="Y50" s="58"/>
      <c r="Z50" s="58"/>
      <c r="AA50" s="58"/>
      <c r="AB50" s="58"/>
    </row>
    <row r="51" spans="4:28" ht="13.5" customHeight="1" x14ac:dyDescent="0.2">
      <c r="D51" s="58"/>
      <c r="E51" s="58"/>
      <c r="F51" s="58"/>
      <c r="G51" s="58"/>
      <c r="H51" s="58"/>
      <c r="I51" s="58"/>
      <c r="J51" s="58"/>
      <c r="K51" s="58"/>
      <c r="L51" s="58"/>
      <c r="M51" s="58"/>
      <c r="N51" s="58"/>
      <c r="O51" s="58"/>
      <c r="P51" s="58"/>
      <c r="Q51" s="58"/>
      <c r="R51" s="58"/>
      <c r="S51" s="58"/>
      <c r="T51" s="58"/>
      <c r="U51" s="58"/>
      <c r="V51" s="58"/>
      <c r="W51" s="58"/>
      <c r="X51" s="58"/>
      <c r="Y51" s="58"/>
      <c r="Z51" s="58"/>
      <c r="AA51" s="58"/>
      <c r="AB51" s="58"/>
    </row>
    <row r="52" spans="4:28" ht="13.5" customHeight="1" x14ac:dyDescent="0.2">
      <c r="D52" s="58"/>
      <c r="E52" s="58"/>
      <c r="F52" s="58"/>
      <c r="G52" s="58"/>
      <c r="H52" s="58"/>
      <c r="I52" s="58"/>
      <c r="J52" s="58"/>
      <c r="K52" s="58"/>
      <c r="L52" s="58"/>
      <c r="M52" s="58"/>
      <c r="N52" s="58"/>
      <c r="O52" s="58"/>
      <c r="P52" s="58"/>
      <c r="Q52" s="58"/>
      <c r="R52" s="58"/>
      <c r="S52" s="58"/>
      <c r="T52" s="58"/>
      <c r="U52" s="58"/>
      <c r="V52" s="58"/>
      <c r="W52" s="58"/>
      <c r="X52" s="58"/>
      <c r="Y52" s="58"/>
      <c r="Z52" s="58"/>
      <c r="AA52" s="58"/>
      <c r="AB52" s="58"/>
    </row>
    <row r="53" spans="4:28" ht="13.5" customHeight="1" x14ac:dyDescent="0.2">
      <c r="D53" s="58"/>
      <c r="E53" s="58"/>
      <c r="F53" s="58"/>
      <c r="G53" s="58"/>
      <c r="H53" s="58"/>
      <c r="I53" s="58"/>
      <c r="J53" s="58"/>
      <c r="K53" s="58"/>
      <c r="L53" s="58"/>
      <c r="M53" s="58"/>
      <c r="N53" s="58"/>
      <c r="O53" s="58"/>
      <c r="P53" s="58"/>
      <c r="Q53" s="58"/>
      <c r="R53" s="58"/>
      <c r="S53" s="58"/>
      <c r="T53" s="58"/>
      <c r="U53" s="58"/>
      <c r="V53" s="58"/>
      <c r="W53" s="58"/>
      <c r="X53" s="58"/>
      <c r="Y53" s="58"/>
      <c r="Z53" s="58"/>
      <c r="AA53" s="58"/>
      <c r="AB53" s="58"/>
    </row>
    <row r="54" spans="4:28" ht="13.5" customHeight="1" x14ac:dyDescent="0.2">
      <c r="D54" s="58"/>
      <c r="E54" s="58"/>
      <c r="F54" s="58"/>
      <c r="G54" s="58"/>
      <c r="H54" s="58"/>
      <c r="I54" s="58"/>
      <c r="J54" s="58"/>
      <c r="K54" s="58"/>
      <c r="L54" s="58"/>
      <c r="M54" s="58"/>
      <c r="N54" s="58"/>
      <c r="O54" s="58"/>
      <c r="P54" s="58"/>
      <c r="Q54" s="58"/>
      <c r="R54" s="58"/>
      <c r="S54" s="58"/>
      <c r="T54" s="58"/>
      <c r="U54" s="58"/>
      <c r="V54" s="58"/>
      <c r="W54" s="58"/>
      <c r="X54" s="58"/>
      <c r="Y54" s="58"/>
      <c r="Z54" s="58"/>
      <c r="AA54" s="58"/>
      <c r="AB54" s="58"/>
    </row>
    <row r="55" spans="4:28" ht="13.5" customHeight="1" x14ac:dyDescent="0.2">
      <c r="D55" s="58"/>
      <c r="E55" s="58"/>
      <c r="F55" s="58"/>
      <c r="G55" s="58"/>
      <c r="H55" s="58"/>
      <c r="I55" s="58"/>
      <c r="J55" s="58"/>
      <c r="K55" s="58"/>
      <c r="L55" s="58"/>
      <c r="M55" s="58"/>
      <c r="N55" s="58"/>
      <c r="O55" s="58"/>
      <c r="P55" s="58"/>
      <c r="Q55" s="58"/>
      <c r="R55" s="58"/>
      <c r="S55" s="58"/>
      <c r="T55" s="58"/>
      <c r="U55" s="58"/>
      <c r="V55" s="58"/>
      <c r="W55" s="58"/>
      <c r="X55" s="58"/>
      <c r="Y55" s="58"/>
      <c r="Z55" s="58"/>
      <c r="AA55" s="58"/>
      <c r="AB55" s="58"/>
    </row>
    <row r="56" spans="4:28" ht="13.5" customHeight="1" x14ac:dyDescent="0.2">
      <c r="D56" s="58"/>
      <c r="E56" s="58"/>
      <c r="F56" s="58"/>
      <c r="G56" s="58"/>
      <c r="H56" s="58"/>
      <c r="I56" s="58"/>
      <c r="J56" s="58"/>
      <c r="K56" s="58"/>
      <c r="L56" s="58"/>
      <c r="M56" s="58"/>
      <c r="N56" s="58"/>
      <c r="O56" s="58"/>
      <c r="P56" s="58"/>
      <c r="Q56" s="58"/>
      <c r="R56" s="58"/>
      <c r="S56" s="58"/>
      <c r="T56" s="58"/>
      <c r="U56" s="58"/>
      <c r="V56" s="58"/>
      <c r="W56" s="58"/>
      <c r="X56" s="58"/>
      <c r="Y56" s="58"/>
      <c r="Z56" s="58"/>
      <c r="AA56" s="58"/>
      <c r="AB56" s="58"/>
    </row>
    <row r="57" spans="4:28" ht="13.5" customHeight="1" x14ac:dyDescent="0.2">
      <c r="D57" s="58"/>
      <c r="E57" s="58"/>
      <c r="F57" s="58"/>
      <c r="G57" s="58"/>
      <c r="H57" s="58"/>
      <c r="I57" s="58"/>
      <c r="J57" s="58"/>
      <c r="K57" s="58"/>
      <c r="L57" s="58"/>
      <c r="M57" s="58"/>
      <c r="N57" s="58"/>
      <c r="O57" s="58"/>
      <c r="P57" s="58"/>
      <c r="Q57" s="58"/>
      <c r="R57" s="58"/>
      <c r="S57" s="58"/>
      <c r="T57" s="58"/>
      <c r="U57" s="58"/>
      <c r="V57" s="58"/>
      <c r="W57" s="58"/>
      <c r="X57" s="58"/>
      <c r="Y57" s="58"/>
      <c r="Z57" s="58"/>
      <c r="AA57" s="58"/>
      <c r="AB57" s="58"/>
    </row>
    <row r="58" spans="4:28" ht="13.5" customHeight="1" x14ac:dyDescent="0.2">
      <c r="D58" s="58"/>
      <c r="E58" s="58"/>
      <c r="F58" s="58"/>
      <c r="G58" s="58"/>
      <c r="H58" s="58"/>
      <c r="I58" s="58"/>
      <c r="J58" s="58"/>
      <c r="K58" s="58"/>
      <c r="L58" s="58"/>
      <c r="M58" s="58"/>
      <c r="N58" s="58"/>
      <c r="O58" s="58"/>
      <c r="P58" s="58"/>
      <c r="Q58" s="58"/>
      <c r="R58" s="58"/>
      <c r="S58" s="58"/>
      <c r="T58" s="58"/>
      <c r="U58" s="58"/>
      <c r="V58" s="58"/>
      <c r="W58" s="58"/>
      <c r="X58" s="58"/>
      <c r="Y58" s="58"/>
      <c r="Z58" s="58"/>
      <c r="AA58" s="58"/>
      <c r="AB58" s="58"/>
    </row>
    <row r="59" spans="4:28" ht="13.5" customHeight="1" x14ac:dyDescent="0.2">
      <c r="D59" s="58"/>
      <c r="E59" s="58"/>
      <c r="F59" s="58"/>
      <c r="G59" s="58"/>
      <c r="H59" s="58"/>
      <c r="I59" s="58"/>
      <c r="J59" s="58"/>
      <c r="K59" s="58"/>
      <c r="L59" s="58"/>
      <c r="M59" s="58"/>
      <c r="N59" s="58"/>
      <c r="O59" s="58"/>
      <c r="P59" s="58"/>
      <c r="Q59" s="58"/>
      <c r="R59" s="58"/>
      <c r="S59" s="58"/>
      <c r="T59" s="58"/>
      <c r="U59" s="58"/>
      <c r="V59" s="58"/>
      <c r="W59" s="58"/>
      <c r="X59" s="58"/>
      <c r="Y59" s="58"/>
      <c r="Z59" s="58"/>
      <c r="AA59" s="58"/>
      <c r="AB59" s="58"/>
    </row>
    <row r="60" spans="4:28" ht="13.5" customHeight="1" x14ac:dyDescent="0.2">
      <c r="D60" s="58"/>
      <c r="E60" s="58"/>
      <c r="F60" s="58"/>
      <c r="G60" s="58"/>
      <c r="H60" s="58"/>
      <c r="I60" s="58"/>
      <c r="J60" s="58"/>
      <c r="K60" s="58"/>
      <c r="L60" s="58"/>
      <c r="M60" s="58"/>
      <c r="N60" s="58"/>
      <c r="O60" s="58"/>
      <c r="P60" s="58"/>
      <c r="Q60" s="58"/>
      <c r="R60" s="58"/>
      <c r="S60" s="58"/>
      <c r="T60" s="58"/>
      <c r="U60" s="58"/>
      <c r="V60" s="58"/>
      <c r="W60" s="58"/>
      <c r="X60" s="58"/>
      <c r="Y60" s="58"/>
      <c r="Z60" s="58"/>
      <c r="AA60" s="58"/>
      <c r="AB60" s="58"/>
    </row>
    <row r="61" spans="4:28" ht="13.5" customHeight="1" x14ac:dyDescent="0.2">
      <c r="D61" s="58"/>
      <c r="E61" s="58"/>
      <c r="F61" s="58"/>
      <c r="G61" s="58"/>
      <c r="H61" s="58"/>
      <c r="I61" s="58"/>
      <c r="J61" s="58"/>
      <c r="K61" s="58"/>
      <c r="L61" s="58"/>
      <c r="M61" s="58"/>
      <c r="N61" s="58"/>
      <c r="O61" s="58"/>
      <c r="P61" s="58"/>
      <c r="Q61" s="58"/>
      <c r="R61" s="58"/>
      <c r="S61" s="58"/>
      <c r="T61" s="58"/>
      <c r="U61" s="58"/>
      <c r="V61" s="58"/>
      <c r="W61" s="58"/>
      <c r="X61" s="58"/>
      <c r="Y61" s="58"/>
      <c r="Z61" s="58"/>
      <c r="AA61" s="58"/>
      <c r="AB61" s="58"/>
    </row>
    <row r="62" spans="4:28" ht="13.5" customHeight="1" x14ac:dyDescent="0.2">
      <c r="D62" s="58"/>
      <c r="E62" s="58"/>
      <c r="F62" s="58"/>
      <c r="G62" s="58"/>
      <c r="H62" s="58"/>
      <c r="I62" s="58"/>
      <c r="J62" s="58"/>
      <c r="K62" s="58"/>
      <c r="L62" s="58"/>
      <c r="M62" s="58"/>
      <c r="N62" s="58"/>
      <c r="O62" s="58"/>
      <c r="P62" s="58"/>
      <c r="Q62" s="58"/>
      <c r="R62" s="58"/>
      <c r="S62" s="58"/>
      <c r="T62" s="58"/>
      <c r="U62" s="58"/>
      <c r="V62" s="58"/>
      <c r="W62" s="58"/>
      <c r="X62" s="58"/>
      <c r="Y62" s="58"/>
      <c r="Z62" s="58"/>
      <c r="AA62" s="58"/>
      <c r="AB62" s="58"/>
    </row>
    <row r="63" spans="4:28" ht="13.5" customHeight="1" x14ac:dyDescent="0.2">
      <c r="D63" s="58"/>
      <c r="E63" s="58"/>
      <c r="F63" s="58"/>
      <c r="G63" s="58"/>
      <c r="H63" s="58"/>
      <c r="I63" s="58"/>
      <c r="J63" s="58"/>
      <c r="K63" s="58"/>
      <c r="L63" s="58"/>
      <c r="M63" s="58"/>
      <c r="N63" s="58"/>
      <c r="O63" s="58"/>
      <c r="P63" s="58"/>
      <c r="Q63" s="58"/>
      <c r="R63" s="58"/>
      <c r="S63" s="58"/>
      <c r="T63" s="58"/>
      <c r="U63" s="58"/>
      <c r="V63" s="58"/>
      <c r="W63" s="58"/>
      <c r="X63" s="58"/>
      <c r="Y63" s="58"/>
      <c r="Z63" s="58"/>
      <c r="AA63" s="58"/>
      <c r="AB63" s="58"/>
    </row>
    <row r="64" spans="4:28" ht="13.5" customHeight="1" x14ac:dyDescent="0.2">
      <c r="D64" s="58"/>
      <c r="E64" s="58"/>
      <c r="F64" s="58"/>
      <c r="G64" s="58"/>
      <c r="H64" s="58"/>
      <c r="I64" s="58"/>
      <c r="J64" s="58"/>
      <c r="K64" s="58"/>
      <c r="L64" s="58"/>
      <c r="M64" s="58"/>
      <c r="N64" s="58"/>
      <c r="O64" s="58"/>
      <c r="P64" s="58"/>
      <c r="Q64" s="58"/>
      <c r="R64" s="58"/>
      <c r="S64" s="58"/>
      <c r="T64" s="58"/>
      <c r="U64" s="58"/>
      <c r="V64" s="58"/>
      <c r="W64" s="58"/>
      <c r="X64" s="58"/>
      <c r="Y64" s="58"/>
      <c r="Z64" s="58"/>
      <c r="AA64" s="58"/>
      <c r="AB64" s="58"/>
    </row>
    <row r="65" spans="4:28" ht="13.5" customHeight="1" x14ac:dyDescent="0.2">
      <c r="D65" s="58"/>
      <c r="E65" s="58"/>
      <c r="F65" s="58"/>
      <c r="G65" s="58"/>
      <c r="H65" s="58"/>
      <c r="I65" s="58"/>
      <c r="J65" s="58"/>
      <c r="K65" s="58"/>
      <c r="L65" s="58"/>
      <c r="M65" s="58"/>
      <c r="N65" s="58"/>
      <c r="O65" s="58"/>
      <c r="P65" s="58"/>
      <c r="Q65" s="58"/>
      <c r="R65" s="58"/>
      <c r="S65" s="58"/>
      <c r="T65" s="58"/>
      <c r="U65" s="58"/>
      <c r="V65" s="58"/>
      <c r="W65" s="58"/>
      <c r="X65" s="58"/>
      <c r="Y65" s="58"/>
      <c r="Z65" s="58"/>
      <c r="AA65" s="58"/>
      <c r="AB65" s="58"/>
    </row>
    <row r="66" spans="4:28" ht="13.5" customHeight="1" x14ac:dyDescent="0.2">
      <c r="D66" s="58"/>
      <c r="E66" s="58"/>
      <c r="F66" s="58"/>
      <c r="G66" s="58"/>
      <c r="H66" s="58"/>
      <c r="I66" s="58"/>
      <c r="J66" s="58"/>
      <c r="K66" s="58"/>
      <c r="L66" s="58"/>
      <c r="M66" s="58"/>
      <c r="N66" s="58"/>
      <c r="O66" s="58"/>
      <c r="P66" s="58"/>
      <c r="Q66" s="58"/>
      <c r="R66" s="58"/>
      <c r="S66" s="58"/>
      <c r="T66" s="58"/>
      <c r="U66" s="58"/>
      <c r="V66" s="58"/>
      <c r="W66" s="58"/>
      <c r="X66" s="58"/>
      <c r="Y66" s="58"/>
      <c r="Z66" s="58"/>
      <c r="AA66" s="58"/>
      <c r="AB66" s="58"/>
    </row>
    <row r="67" spans="4:28" ht="13.5" customHeight="1" x14ac:dyDescent="0.2">
      <c r="D67" s="58"/>
      <c r="E67" s="58"/>
      <c r="F67" s="58"/>
      <c r="G67" s="58"/>
      <c r="H67" s="58"/>
      <c r="I67" s="58"/>
      <c r="J67" s="58"/>
      <c r="K67" s="58"/>
      <c r="L67" s="58"/>
      <c r="M67" s="58"/>
      <c r="N67" s="58"/>
      <c r="O67" s="58"/>
      <c r="P67" s="58"/>
      <c r="Q67" s="58"/>
      <c r="R67" s="58"/>
      <c r="S67" s="58"/>
      <c r="T67" s="58"/>
      <c r="U67" s="58"/>
      <c r="V67" s="58"/>
      <c r="W67" s="58"/>
      <c r="X67" s="58"/>
      <c r="Y67" s="58"/>
      <c r="Z67" s="58"/>
      <c r="AA67" s="58"/>
      <c r="AB67" s="58"/>
    </row>
    <row r="68" spans="4:28" ht="13.5" customHeight="1" x14ac:dyDescent="0.2">
      <c r="D68" s="58"/>
      <c r="E68" s="58"/>
      <c r="F68" s="58"/>
      <c r="G68" s="58"/>
      <c r="H68" s="58"/>
      <c r="I68" s="58"/>
      <c r="J68" s="58"/>
      <c r="K68" s="58"/>
      <c r="L68" s="58"/>
      <c r="M68" s="58"/>
      <c r="N68" s="58"/>
      <c r="O68" s="58"/>
      <c r="P68" s="58"/>
      <c r="Q68" s="58"/>
      <c r="R68" s="58"/>
      <c r="S68" s="58"/>
      <c r="T68" s="58"/>
      <c r="U68" s="58"/>
      <c r="V68" s="58"/>
      <c r="W68" s="58"/>
      <c r="X68" s="58"/>
      <c r="Y68" s="58"/>
      <c r="Z68" s="58"/>
      <c r="AA68" s="58"/>
      <c r="AB68" s="58"/>
    </row>
    <row r="69" spans="4:28" ht="13.5" customHeight="1" x14ac:dyDescent="0.2">
      <c r="D69" s="58"/>
      <c r="E69" s="58"/>
      <c r="F69" s="58"/>
      <c r="G69" s="58"/>
      <c r="H69" s="58"/>
      <c r="I69" s="58"/>
      <c r="J69" s="58"/>
      <c r="K69" s="58"/>
      <c r="L69" s="58"/>
      <c r="M69" s="58"/>
      <c r="N69" s="58"/>
      <c r="O69" s="58"/>
      <c r="P69" s="58"/>
      <c r="Q69" s="58"/>
      <c r="R69" s="58"/>
      <c r="S69" s="58"/>
      <c r="T69" s="58"/>
      <c r="U69" s="58"/>
      <c r="V69" s="58"/>
      <c r="W69" s="58"/>
      <c r="X69" s="58"/>
      <c r="Y69" s="58"/>
      <c r="Z69" s="58"/>
      <c r="AA69" s="58"/>
      <c r="AB69" s="58"/>
    </row>
    <row r="70" spans="4:28" ht="13.5" customHeight="1" x14ac:dyDescent="0.2">
      <c r="D70" s="58"/>
      <c r="E70" s="58"/>
      <c r="F70" s="58"/>
      <c r="G70" s="58"/>
      <c r="H70" s="58"/>
      <c r="I70" s="58"/>
      <c r="J70" s="58"/>
      <c r="K70" s="58"/>
      <c r="L70" s="58"/>
      <c r="M70" s="58"/>
      <c r="N70" s="58"/>
      <c r="O70" s="58"/>
      <c r="P70" s="58"/>
      <c r="Q70" s="58"/>
      <c r="R70" s="58"/>
      <c r="S70" s="58"/>
      <c r="T70" s="58"/>
      <c r="U70" s="58"/>
      <c r="V70" s="58"/>
      <c r="W70" s="58"/>
      <c r="X70" s="58"/>
      <c r="Y70" s="58"/>
      <c r="Z70" s="58"/>
      <c r="AA70" s="58"/>
      <c r="AB70" s="58"/>
    </row>
    <row r="71" spans="4:28" ht="13.5" customHeight="1" x14ac:dyDescent="0.2">
      <c r="D71" s="58"/>
      <c r="E71" s="58"/>
      <c r="F71" s="58"/>
      <c r="G71" s="58"/>
      <c r="H71" s="58"/>
      <c r="I71" s="58"/>
      <c r="J71" s="58"/>
      <c r="K71" s="58"/>
      <c r="L71" s="58"/>
      <c r="M71" s="58"/>
      <c r="N71" s="58"/>
      <c r="O71" s="58"/>
      <c r="P71" s="58"/>
      <c r="Q71" s="58"/>
      <c r="R71" s="58"/>
      <c r="S71" s="58"/>
      <c r="T71" s="58"/>
      <c r="U71" s="58"/>
      <c r="V71" s="58"/>
      <c r="W71" s="58"/>
      <c r="X71" s="58"/>
      <c r="Y71" s="58"/>
      <c r="Z71" s="58"/>
      <c r="AA71" s="58"/>
      <c r="AB71" s="58"/>
    </row>
    <row r="72" spans="4:28" ht="13.5" customHeight="1" x14ac:dyDescent="0.2">
      <c r="D72" s="58"/>
      <c r="E72" s="58"/>
      <c r="F72" s="58"/>
      <c r="G72" s="58"/>
      <c r="H72" s="58"/>
      <c r="I72" s="58"/>
      <c r="J72" s="58"/>
      <c r="K72" s="58"/>
      <c r="L72" s="58"/>
      <c r="M72" s="58"/>
      <c r="N72" s="58"/>
      <c r="O72" s="58"/>
      <c r="P72" s="58"/>
      <c r="Q72" s="58"/>
      <c r="R72" s="58"/>
      <c r="S72" s="58"/>
      <c r="T72" s="58"/>
      <c r="U72" s="58"/>
      <c r="V72" s="58"/>
      <c r="W72" s="58"/>
      <c r="X72" s="58"/>
      <c r="Y72" s="58"/>
      <c r="Z72" s="58"/>
      <c r="AA72" s="58"/>
      <c r="AB72" s="58"/>
    </row>
    <row r="73" spans="4:28" ht="13.5" customHeight="1" x14ac:dyDescent="0.2">
      <c r="D73" s="58"/>
      <c r="E73" s="58"/>
      <c r="F73" s="58"/>
      <c r="G73" s="58"/>
      <c r="H73" s="58"/>
      <c r="I73" s="58"/>
      <c r="J73" s="58"/>
      <c r="K73" s="58"/>
      <c r="L73" s="58"/>
      <c r="M73" s="58"/>
      <c r="N73" s="58"/>
      <c r="O73" s="58"/>
      <c r="P73" s="58"/>
      <c r="Q73" s="58"/>
      <c r="R73" s="58"/>
      <c r="S73" s="58"/>
      <c r="T73" s="58"/>
      <c r="U73" s="58"/>
      <c r="V73" s="58"/>
      <c r="W73" s="58"/>
      <c r="X73" s="58"/>
      <c r="Y73" s="58"/>
      <c r="Z73" s="58"/>
      <c r="AA73" s="58"/>
      <c r="AB73" s="58"/>
    </row>
    <row r="74" spans="4:28" ht="13.5" customHeight="1" x14ac:dyDescent="0.2">
      <c r="D74" s="58"/>
      <c r="E74" s="58"/>
      <c r="F74" s="58"/>
      <c r="G74" s="58"/>
      <c r="H74" s="58"/>
      <c r="I74" s="58"/>
      <c r="J74" s="58"/>
      <c r="K74" s="58"/>
      <c r="L74" s="58"/>
      <c r="M74" s="58"/>
      <c r="N74" s="58"/>
      <c r="O74" s="58"/>
      <c r="P74" s="58"/>
      <c r="Q74" s="58"/>
      <c r="R74" s="58"/>
      <c r="S74" s="58"/>
      <c r="T74" s="58"/>
      <c r="U74" s="58"/>
      <c r="V74" s="58"/>
      <c r="W74" s="58"/>
      <c r="X74" s="58"/>
      <c r="Y74" s="58"/>
      <c r="Z74" s="58"/>
      <c r="AA74" s="58"/>
      <c r="AB74" s="58"/>
    </row>
    <row r="75" spans="4:28" ht="13.5" customHeight="1" x14ac:dyDescent="0.2">
      <c r="D75" s="58"/>
      <c r="E75" s="58"/>
      <c r="F75" s="58"/>
      <c r="G75" s="58"/>
      <c r="H75" s="58"/>
      <c r="I75" s="58"/>
      <c r="J75" s="58"/>
      <c r="K75" s="58"/>
      <c r="L75" s="58"/>
      <c r="M75" s="58"/>
      <c r="N75" s="58"/>
      <c r="O75" s="58"/>
      <c r="P75" s="58"/>
      <c r="Q75" s="58"/>
      <c r="R75" s="58"/>
      <c r="S75" s="58"/>
      <c r="T75" s="58"/>
      <c r="U75" s="58"/>
      <c r="V75" s="58"/>
      <c r="W75" s="58"/>
      <c r="X75" s="58"/>
      <c r="Y75" s="58"/>
      <c r="Z75" s="58"/>
      <c r="AA75" s="58"/>
      <c r="AB75" s="58"/>
    </row>
    <row r="76" spans="4:28" ht="13.5" customHeight="1" x14ac:dyDescent="0.2">
      <c r="D76" s="58"/>
      <c r="E76" s="58"/>
      <c r="F76" s="58"/>
      <c r="G76" s="58"/>
      <c r="H76" s="58"/>
      <c r="I76" s="58"/>
      <c r="J76" s="58"/>
      <c r="K76" s="58"/>
      <c r="L76" s="58"/>
      <c r="M76" s="58"/>
      <c r="N76" s="58"/>
      <c r="O76" s="58"/>
      <c r="P76" s="58"/>
      <c r="Q76" s="58"/>
      <c r="R76" s="58"/>
      <c r="S76" s="58"/>
      <c r="T76" s="58"/>
      <c r="U76" s="58"/>
      <c r="V76" s="58"/>
      <c r="W76" s="58"/>
      <c r="X76" s="58"/>
      <c r="Y76" s="58"/>
      <c r="Z76" s="58"/>
      <c r="AA76" s="58"/>
      <c r="AB76" s="58"/>
    </row>
    <row r="77" spans="4:28" ht="13.5" customHeight="1" x14ac:dyDescent="0.2">
      <c r="D77" s="58"/>
      <c r="E77" s="58"/>
      <c r="F77" s="58"/>
      <c r="G77" s="58"/>
      <c r="H77" s="58"/>
      <c r="I77" s="58"/>
      <c r="J77" s="58"/>
      <c r="K77" s="58"/>
      <c r="L77" s="58"/>
      <c r="M77" s="58"/>
      <c r="N77" s="58"/>
      <c r="O77" s="58"/>
      <c r="P77" s="58"/>
      <c r="Q77" s="58"/>
      <c r="R77" s="58"/>
      <c r="S77" s="58"/>
      <c r="T77" s="58"/>
      <c r="U77" s="58"/>
      <c r="V77" s="58"/>
      <c r="W77" s="58"/>
      <c r="X77" s="58"/>
      <c r="Y77" s="58"/>
      <c r="Z77" s="58"/>
      <c r="AA77" s="58"/>
      <c r="AB77" s="58"/>
    </row>
    <row r="78" spans="4:28" ht="13.5" customHeight="1" x14ac:dyDescent="0.2">
      <c r="D78" s="58"/>
      <c r="E78" s="58"/>
      <c r="F78" s="58"/>
      <c r="G78" s="58"/>
      <c r="H78" s="58"/>
      <c r="I78" s="58"/>
      <c r="J78" s="58"/>
      <c r="K78" s="58"/>
      <c r="L78" s="58"/>
      <c r="M78" s="58"/>
      <c r="N78" s="58"/>
      <c r="O78" s="58"/>
      <c r="P78" s="58"/>
      <c r="Q78" s="58"/>
      <c r="R78" s="58"/>
      <c r="S78" s="58"/>
      <c r="T78" s="58"/>
      <c r="U78" s="58"/>
      <c r="V78" s="58"/>
      <c r="W78" s="58"/>
      <c r="X78" s="58"/>
      <c r="Y78" s="58"/>
      <c r="Z78" s="58"/>
      <c r="AA78" s="58"/>
      <c r="AB78" s="58"/>
    </row>
    <row r="79" spans="4:28" ht="13.5" customHeight="1" x14ac:dyDescent="0.2">
      <c r="D79" s="58"/>
      <c r="E79" s="58"/>
      <c r="F79" s="58"/>
      <c r="G79" s="58"/>
      <c r="H79" s="58"/>
      <c r="I79" s="58"/>
      <c r="J79" s="58"/>
      <c r="K79" s="58"/>
      <c r="L79" s="58"/>
      <c r="M79" s="58"/>
      <c r="N79" s="58"/>
      <c r="O79" s="58"/>
      <c r="P79" s="58"/>
      <c r="Q79" s="58"/>
      <c r="R79" s="58"/>
      <c r="S79" s="58"/>
      <c r="T79" s="58"/>
      <c r="U79" s="58"/>
      <c r="V79" s="58"/>
      <c r="W79" s="58"/>
      <c r="X79" s="58"/>
      <c r="Y79" s="58"/>
      <c r="Z79" s="58"/>
      <c r="AA79" s="58"/>
      <c r="AB79" s="58"/>
    </row>
    <row r="80" spans="4:28" ht="13.5" customHeight="1" x14ac:dyDescent="0.2">
      <c r="D80" s="58"/>
      <c r="E80" s="58"/>
      <c r="F80" s="58"/>
      <c r="G80" s="58"/>
      <c r="H80" s="58"/>
      <c r="I80" s="58"/>
      <c r="J80" s="58"/>
      <c r="K80" s="58"/>
      <c r="L80" s="58"/>
      <c r="M80" s="58"/>
      <c r="N80" s="58"/>
      <c r="O80" s="58"/>
      <c r="P80" s="58"/>
      <c r="Q80" s="58"/>
      <c r="R80" s="58"/>
      <c r="S80" s="58"/>
      <c r="T80" s="58"/>
      <c r="U80" s="58"/>
      <c r="V80" s="58"/>
      <c r="W80" s="58"/>
      <c r="X80" s="58"/>
      <c r="Y80" s="58"/>
      <c r="Z80" s="58"/>
      <c r="AA80" s="58"/>
      <c r="AB80" s="58"/>
    </row>
    <row r="81" spans="4:28" ht="13.5" customHeight="1" x14ac:dyDescent="0.2">
      <c r="D81" s="58"/>
      <c r="E81" s="58"/>
      <c r="F81" s="58"/>
      <c r="G81" s="58"/>
      <c r="H81" s="58"/>
      <c r="I81" s="58"/>
      <c r="J81" s="58"/>
      <c r="K81" s="58"/>
      <c r="L81" s="58"/>
      <c r="M81" s="58"/>
      <c r="N81" s="58"/>
      <c r="O81" s="58"/>
      <c r="P81" s="58"/>
      <c r="Q81" s="58"/>
      <c r="R81" s="58"/>
      <c r="S81" s="58"/>
      <c r="T81" s="58"/>
      <c r="U81" s="58"/>
      <c r="V81" s="58"/>
      <c r="W81" s="58"/>
      <c r="X81" s="58"/>
      <c r="Y81" s="58"/>
      <c r="Z81" s="58"/>
      <c r="AA81" s="58"/>
      <c r="AB81" s="58"/>
    </row>
    <row r="82" spans="4:28" ht="13.5" customHeight="1" x14ac:dyDescent="0.2">
      <c r="D82" s="58"/>
      <c r="E82" s="58"/>
      <c r="F82" s="58"/>
      <c r="G82" s="58"/>
      <c r="H82" s="58"/>
      <c r="I82" s="58"/>
      <c r="J82" s="58"/>
      <c r="K82" s="58"/>
      <c r="L82" s="58"/>
      <c r="M82" s="58"/>
      <c r="N82" s="58"/>
      <c r="O82" s="58"/>
      <c r="P82" s="58"/>
      <c r="Q82" s="58"/>
      <c r="R82" s="58"/>
      <c r="S82" s="58"/>
      <c r="T82" s="58"/>
      <c r="U82" s="58"/>
      <c r="V82" s="58"/>
      <c r="W82" s="58"/>
      <c r="X82" s="58"/>
      <c r="Y82" s="58"/>
      <c r="Z82" s="58"/>
      <c r="AA82" s="58"/>
      <c r="AB82" s="58"/>
    </row>
    <row r="83" spans="4:28" ht="13.5" customHeight="1" x14ac:dyDescent="0.2">
      <c r="D83" s="58"/>
      <c r="E83" s="58"/>
      <c r="F83" s="58"/>
      <c r="G83" s="58"/>
      <c r="H83" s="58"/>
      <c r="I83" s="58"/>
      <c r="J83" s="58"/>
      <c r="K83" s="58"/>
      <c r="L83" s="58"/>
      <c r="M83" s="58"/>
      <c r="N83" s="58"/>
      <c r="O83" s="58"/>
      <c r="P83" s="58"/>
      <c r="Q83" s="58"/>
      <c r="R83" s="58"/>
      <c r="S83" s="58"/>
      <c r="T83" s="58"/>
      <c r="U83" s="58"/>
      <c r="V83" s="58"/>
      <c r="W83" s="58"/>
      <c r="X83" s="58"/>
      <c r="Y83" s="58"/>
      <c r="Z83" s="58"/>
      <c r="AA83" s="58"/>
      <c r="AB83" s="58"/>
    </row>
    <row r="84" spans="4:28" ht="13.5" customHeight="1" x14ac:dyDescent="0.2">
      <c r="D84" s="58"/>
      <c r="E84" s="58"/>
      <c r="F84" s="58"/>
      <c r="G84" s="58"/>
      <c r="H84" s="58"/>
      <c r="I84" s="58"/>
      <c r="J84" s="58"/>
      <c r="K84" s="58"/>
      <c r="L84" s="58"/>
      <c r="M84" s="58"/>
      <c r="N84" s="58"/>
      <c r="O84" s="58"/>
      <c r="P84" s="58"/>
      <c r="Q84" s="58"/>
      <c r="R84" s="58"/>
      <c r="S84" s="58"/>
      <c r="T84" s="58"/>
      <c r="U84" s="58"/>
      <c r="V84" s="58"/>
      <c r="W84" s="58"/>
      <c r="X84" s="58"/>
      <c r="Y84" s="58"/>
      <c r="Z84" s="58"/>
      <c r="AA84" s="58"/>
      <c r="AB84" s="58"/>
    </row>
    <row r="85" spans="4:28" ht="13.5" customHeight="1" x14ac:dyDescent="0.2"/>
    <row r="86" spans="4:28" ht="13.5" customHeight="1" x14ac:dyDescent="0.2"/>
    <row r="87" spans="4:28" ht="13.5" customHeight="1" x14ac:dyDescent="0.2"/>
    <row r="88" spans="4:28" ht="13.5" customHeight="1" x14ac:dyDescent="0.2"/>
    <row r="89" spans="4:28" ht="13.5" customHeight="1" x14ac:dyDescent="0.2"/>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491</v>
      </c>
      <c r="D4" s="99" t="s">
        <v>492</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273</v>
      </c>
      <c r="L6" s="80"/>
      <c r="M6" s="80"/>
      <c r="N6" s="19"/>
      <c r="O6" s="20" t="s">
        <v>20</v>
      </c>
      <c r="P6" s="80" t="s">
        <v>469</v>
      </c>
      <c r="Q6" s="80"/>
      <c r="R6" s="21"/>
      <c r="S6" s="20" t="s">
        <v>22</v>
      </c>
      <c r="T6" s="80" t="s">
        <v>470</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471</v>
      </c>
      <c r="D11" s="73"/>
      <c r="E11" s="73"/>
      <c r="F11" s="73"/>
      <c r="G11" s="73"/>
      <c r="H11" s="73"/>
      <c r="I11" s="73" t="s">
        <v>493</v>
      </c>
      <c r="J11" s="73"/>
      <c r="K11" s="73"/>
      <c r="L11" s="73" t="s">
        <v>494</v>
      </c>
      <c r="M11" s="73"/>
      <c r="N11" s="73"/>
      <c r="O11" s="73"/>
      <c r="P11" s="27" t="s">
        <v>48</v>
      </c>
      <c r="Q11" s="27" t="s">
        <v>43</v>
      </c>
      <c r="R11" s="27">
        <v>6.91</v>
      </c>
      <c r="S11" s="27" t="s">
        <v>44</v>
      </c>
      <c r="T11" s="27" t="s">
        <v>44</v>
      </c>
      <c r="U11" s="28" t="str">
        <f>IF(ISERR(T11/S11*100),"N/A",T11/S11*100)</f>
        <v>N/A</v>
      </c>
    </row>
    <row r="12" spans="1:34" ht="75" customHeight="1" thickBot="1" x14ac:dyDescent="0.25">
      <c r="A12" s="25"/>
      <c r="B12" s="29" t="s">
        <v>45</v>
      </c>
      <c r="C12" s="72" t="s">
        <v>45</v>
      </c>
      <c r="D12" s="72"/>
      <c r="E12" s="72"/>
      <c r="F12" s="72"/>
      <c r="G12" s="72"/>
      <c r="H12" s="72"/>
      <c r="I12" s="72" t="s">
        <v>474</v>
      </c>
      <c r="J12" s="72"/>
      <c r="K12" s="72"/>
      <c r="L12" s="72" t="s">
        <v>475</v>
      </c>
      <c r="M12" s="72"/>
      <c r="N12" s="72"/>
      <c r="O12" s="72"/>
      <c r="P12" s="30" t="s">
        <v>476</v>
      </c>
      <c r="Q12" s="30" t="s">
        <v>43</v>
      </c>
      <c r="R12" s="31">
        <v>65</v>
      </c>
      <c r="S12" s="31" t="s">
        <v>44</v>
      </c>
      <c r="T12" s="31" t="s">
        <v>44</v>
      </c>
      <c r="U12" s="32" t="str">
        <f>IF(ISERR(T12/S12*100),"N/A",T12/S12*100)</f>
        <v>N/A</v>
      </c>
    </row>
    <row r="13" spans="1:34" ht="75" customHeight="1" thickTop="1" thickBot="1" x14ac:dyDescent="0.25">
      <c r="A13" s="25"/>
      <c r="B13" s="26" t="s">
        <v>62</v>
      </c>
      <c r="C13" s="73" t="s">
        <v>495</v>
      </c>
      <c r="D13" s="73"/>
      <c r="E13" s="73"/>
      <c r="F13" s="73"/>
      <c r="G13" s="73"/>
      <c r="H13" s="73"/>
      <c r="I13" s="73" t="s">
        <v>496</v>
      </c>
      <c r="J13" s="73"/>
      <c r="K13" s="73"/>
      <c r="L13" s="73" t="s">
        <v>497</v>
      </c>
      <c r="M13" s="73"/>
      <c r="N13" s="73"/>
      <c r="O13" s="73"/>
      <c r="P13" s="27" t="s">
        <v>48</v>
      </c>
      <c r="Q13" s="27" t="s">
        <v>43</v>
      </c>
      <c r="R13" s="27">
        <v>99</v>
      </c>
      <c r="S13" s="27" t="s">
        <v>44</v>
      </c>
      <c r="T13" s="27" t="s">
        <v>44</v>
      </c>
      <c r="U13" s="28" t="str">
        <f>IF(ISERR(T13/S13*100),"N/A",T13/S13*100)</f>
        <v>N/A</v>
      </c>
    </row>
    <row r="14" spans="1:34" ht="75" customHeight="1" thickTop="1" thickBot="1" x14ac:dyDescent="0.25">
      <c r="A14" s="25"/>
      <c r="B14" s="26" t="s">
        <v>71</v>
      </c>
      <c r="C14" s="73" t="s">
        <v>498</v>
      </c>
      <c r="D14" s="73"/>
      <c r="E14" s="73"/>
      <c r="F14" s="73"/>
      <c r="G14" s="73"/>
      <c r="H14" s="73"/>
      <c r="I14" s="73" t="s">
        <v>499</v>
      </c>
      <c r="J14" s="73"/>
      <c r="K14" s="73"/>
      <c r="L14" s="73" t="s">
        <v>482</v>
      </c>
      <c r="M14" s="73"/>
      <c r="N14" s="73"/>
      <c r="O14" s="73"/>
      <c r="P14" s="27" t="s">
        <v>48</v>
      </c>
      <c r="Q14" s="27" t="s">
        <v>75</v>
      </c>
      <c r="R14" s="27">
        <v>97</v>
      </c>
      <c r="S14" s="27" t="s">
        <v>44</v>
      </c>
      <c r="T14" s="27" t="s">
        <v>44</v>
      </c>
      <c r="U14" s="28" t="str">
        <f>IF(ISERR(T14/S14*100),"N/A",T14/S14*100)</f>
        <v>N/A</v>
      </c>
    </row>
    <row r="15" spans="1:34" ht="75" customHeight="1" thickTop="1" thickBot="1" x14ac:dyDescent="0.25">
      <c r="A15" s="25"/>
      <c r="B15" s="26" t="s">
        <v>87</v>
      </c>
      <c r="C15" s="73" t="s">
        <v>500</v>
      </c>
      <c r="D15" s="73"/>
      <c r="E15" s="73"/>
      <c r="F15" s="73"/>
      <c r="G15" s="73"/>
      <c r="H15" s="73"/>
      <c r="I15" s="73" t="s">
        <v>484</v>
      </c>
      <c r="J15" s="73"/>
      <c r="K15" s="73"/>
      <c r="L15" s="73" t="s">
        <v>485</v>
      </c>
      <c r="M15" s="73"/>
      <c r="N15" s="73"/>
      <c r="O15" s="73"/>
      <c r="P15" s="27" t="s">
        <v>48</v>
      </c>
      <c r="Q15" s="27" t="s">
        <v>291</v>
      </c>
      <c r="R15" s="27">
        <v>98</v>
      </c>
      <c r="S15" s="27">
        <v>98</v>
      </c>
      <c r="T15" s="27">
        <v>96.3</v>
      </c>
      <c r="U15" s="28">
        <f>IF(ISERR(T15/S15*100),"N/A",T15/S15*100)</f>
        <v>98.265306122448976</v>
      </c>
    </row>
    <row r="16" spans="1:34" ht="22.5" customHeight="1" thickTop="1" thickBot="1" x14ac:dyDescent="0.25">
      <c r="B16" s="8" t="s">
        <v>98</v>
      </c>
      <c r="C16" s="9"/>
      <c r="D16" s="9"/>
      <c r="E16" s="9"/>
      <c r="F16" s="9"/>
      <c r="G16" s="9"/>
      <c r="H16" s="10"/>
      <c r="I16" s="10"/>
      <c r="J16" s="10"/>
      <c r="K16" s="10"/>
      <c r="L16" s="10"/>
      <c r="M16" s="10"/>
      <c r="N16" s="10"/>
      <c r="O16" s="10"/>
      <c r="P16" s="10"/>
      <c r="Q16" s="10"/>
      <c r="R16" s="10"/>
      <c r="S16" s="10"/>
      <c r="T16" s="10"/>
      <c r="U16" s="11"/>
      <c r="V16" s="33"/>
    </row>
    <row r="17" spans="2:21" ht="26.25" customHeight="1" thickTop="1" x14ac:dyDescent="0.2">
      <c r="B17" s="34"/>
      <c r="C17" s="35"/>
      <c r="D17" s="35"/>
      <c r="E17" s="35"/>
      <c r="F17" s="35"/>
      <c r="G17" s="35"/>
      <c r="H17" s="36"/>
      <c r="I17" s="36"/>
      <c r="J17" s="36"/>
      <c r="K17" s="36"/>
      <c r="L17" s="36"/>
      <c r="M17" s="36"/>
      <c r="N17" s="36"/>
      <c r="O17" s="36"/>
      <c r="P17" s="37"/>
      <c r="Q17" s="38"/>
      <c r="R17" s="39" t="s">
        <v>99</v>
      </c>
      <c r="S17" s="22" t="s">
        <v>100</v>
      </c>
      <c r="T17" s="39" t="s">
        <v>101</v>
      </c>
      <c r="U17" s="22" t="s">
        <v>102</v>
      </c>
    </row>
    <row r="18" spans="2:21" ht="26.25" customHeight="1" thickBot="1" x14ac:dyDescent="0.25">
      <c r="B18" s="40"/>
      <c r="C18" s="41"/>
      <c r="D18" s="41"/>
      <c r="E18" s="41"/>
      <c r="F18" s="41"/>
      <c r="G18" s="41"/>
      <c r="H18" s="42"/>
      <c r="I18" s="42"/>
      <c r="J18" s="42"/>
      <c r="K18" s="42"/>
      <c r="L18" s="42"/>
      <c r="M18" s="42"/>
      <c r="N18" s="42"/>
      <c r="O18" s="42"/>
      <c r="P18" s="43"/>
      <c r="Q18" s="44"/>
      <c r="R18" s="45" t="s">
        <v>103</v>
      </c>
      <c r="S18" s="44" t="s">
        <v>103</v>
      </c>
      <c r="T18" s="44" t="s">
        <v>103</v>
      </c>
      <c r="U18" s="44" t="s">
        <v>104</v>
      </c>
    </row>
    <row r="19" spans="2:21" ht="13.5" customHeight="1" thickBot="1" x14ac:dyDescent="0.25">
      <c r="B19" s="65" t="s">
        <v>105</v>
      </c>
      <c r="C19" s="66"/>
      <c r="D19" s="66"/>
      <c r="E19" s="46"/>
      <c r="F19" s="46"/>
      <c r="G19" s="46"/>
      <c r="H19" s="47"/>
      <c r="I19" s="47"/>
      <c r="J19" s="47"/>
      <c r="K19" s="47"/>
      <c r="L19" s="47"/>
      <c r="M19" s="47"/>
      <c r="N19" s="47"/>
      <c r="O19" s="47"/>
      <c r="P19" s="48"/>
      <c r="Q19" s="48"/>
      <c r="R19" s="49">
        <f>15433.538091</f>
        <v>15433.538091</v>
      </c>
      <c r="S19" s="49">
        <f>11323.974589</f>
        <v>11323.974588999999</v>
      </c>
      <c r="T19" s="49">
        <f>12461.6339131</f>
        <v>12461.6339131</v>
      </c>
      <c r="U19" s="50">
        <f>+IF(ISERR(T19/S19*100),"N/A",T19/S19*100)</f>
        <v>110.046466593144</v>
      </c>
    </row>
    <row r="20" spans="2:21" ht="13.5" customHeight="1" thickBot="1" x14ac:dyDescent="0.25">
      <c r="B20" s="67" t="s">
        <v>106</v>
      </c>
      <c r="C20" s="68"/>
      <c r="D20" s="68"/>
      <c r="E20" s="51"/>
      <c r="F20" s="51"/>
      <c r="G20" s="51"/>
      <c r="H20" s="52"/>
      <c r="I20" s="52"/>
      <c r="J20" s="52"/>
      <c r="K20" s="52"/>
      <c r="L20" s="52"/>
      <c r="M20" s="52"/>
      <c r="N20" s="52"/>
      <c r="O20" s="52"/>
      <c r="P20" s="53"/>
      <c r="Q20" s="53"/>
      <c r="R20" s="49">
        <f>15700.611767</f>
        <v>15700.611767</v>
      </c>
      <c r="S20" s="49">
        <f>11928.555446</f>
        <v>11928.555446</v>
      </c>
      <c r="T20" s="49">
        <f>12461.6339131</f>
        <v>12461.6339131</v>
      </c>
      <c r="U20" s="50">
        <f>+IF(ISERR(T20/S20*100),"N/A",T20/S20*100)</f>
        <v>104.46892726879815</v>
      </c>
    </row>
    <row r="21" spans="2:21" ht="14.85" customHeight="1" thickTop="1" thickBot="1" x14ac:dyDescent="0.25">
      <c r="B21" s="8" t="s">
        <v>107</v>
      </c>
      <c r="C21" s="9"/>
      <c r="D21" s="9"/>
      <c r="E21" s="9"/>
      <c r="F21" s="9"/>
      <c r="G21" s="9"/>
      <c r="H21" s="10"/>
      <c r="I21" s="10"/>
      <c r="J21" s="10"/>
      <c r="K21" s="10"/>
      <c r="L21" s="10"/>
      <c r="M21" s="10"/>
      <c r="N21" s="10"/>
      <c r="O21" s="10"/>
      <c r="P21" s="10"/>
      <c r="Q21" s="10"/>
      <c r="R21" s="10"/>
      <c r="S21" s="10"/>
      <c r="T21" s="10"/>
      <c r="U21" s="11"/>
    </row>
    <row r="22" spans="2:21" ht="44.25" customHeight="1" thickTop="1" x14ac:dyDescent="0.2">
      <c r="B22" s="69" t="s">
        <v>108</v>
      </c>
      <c r="C22" s="70"/>
      <c r="D22" s="70"/>
      <c r="E22" s="70"/>
      <c r="F22" s="70"/>
      <c r="G22" s="70"/>
      <c r="H22" s="70"/>
      <c r="I22" s="70"/>
      <c r="J22" s="70"/>
      <c r="K22" s="70"/>
      <c r="L22" s="70"/>
      <c r="M22" s="70"/>
      <c r="N22" s="70"/>
      <c r="O22" s="70"/>
      <c r="P22" s="70"/>
      <c r="Q22" s="70"/>
      <c r="R22" s="70"/>
      <c r="S22" s="70"/>
      <c r="T22" s="70"/>
      <c r="U22" s="71"/>
    </row>
    <row r="23" spans="2:21" ht="34.5" customHeight="1" x14ac:dyDescent="0.2">
      <c r="B23" s="59" t="s">
        <v>501</v>
      </c>
      <c r="C23" s="60"/>
      <c r="D23" s="60"/>
      <c r="E23" s="60"/>
      <c r="F23" s="60"/>
      <c r="G23" s="60"/>
      <c r="H23" s="60"/>
      <c r="I23" s="60"/>
      <c r="J23" s="60"/>
      <c r="K23" s="60"/>
      <c r="L23" s="60"/>
      <c r="M23" s="60"/>
      <c r="N23" s="60"/>
      <c r="O23" s="60"/>
      <c r="P23" s="60"/>
      <c r="Q23" s="60"/>
      <c r="R23" s="60"/>
      <c r="S23" s="60"/>
      <c r="T23" s="60"/>
      <c r="U23" s="61"/>
    </row>
    <row r="24" spans="2:21" ht="34.5" customHeight="1" x14ac:dyDescent="0.2">
      <c r="B24" s="59" t="s">
        <v>487</v>
      </c>
      <c r="C24" s="60"/>
      <c r="D24" s="60"/>
      <c r="E24" s="60"/>
      <c r="F24" s="60"/>
      <c r="G24" s="60"/>
      <c r="H24" s="60"/>
      <c r="I24" s="60"/>
      <c r="J24" s="60"/>
      <c r="K24" s="60"/>
      <c r="L24" s="60"/>
      <c r="M24" s="60"/>
      <c r="N24" s="60"/>
      <c r="O24" s="60"/>
      <c r="P24" s="60"/>
      <c r="Q24" s="60"/>
      <c r="R24" s="60"/>
      <c r="S24" s="60"/>
      <c r="T24" s="60"/>
      <c r="U24" s="61"/>
    </row>
    <row r="25" spans="2:21" ht="34.5" customHeight="1" x14ac:dyDescent="0.2">
      <c r="B25" s="59" t="s">
        <v>502</v>
      </c>
      <c r="C25" s="60"/>
      <c r="D25" s="60"/>
      <c r="E25" s="60"/>
      <c r="F25" s="60"/>
      <c r="G25" s="60"/>
      <c r="H25" s="60"/>
      <c r="I25" s="60"/>
      <c r="J25" s="60"/>
      <c r="K25" s="60"/>
      <c r="L25" s="60"/>
      <c r="M25" s="60"/>
      <c r="N25" s="60"/>
      <c r="O25" s="60"/>
      <c r="P25" s="60"/>
      <c r="Q25" s="60"/>
      <c r="R25" s="60"/>
      <c r="S25" s="60"/>
      <c r="T25" s="60"/>
      <c r="U25" s="61"/>
    </row>
    <row r="26" spans="2:21" ht="34.5" customHeight="1" x14ac:dyDescent="0.2">
      <c r="B26" s="59" t="s">
        <v>503</v>
      </c>
      <c r="C26" s="60"/>
      <c r="D26" s="60"/>
      <c r="E26" s="60"/>
      <c r="F26" s="60"/>
      <c r="G26" s="60"/>
      <c r="H26" s="60"/>
      <c r="I26" s="60"/>
      <c r="J26" s="60"/>
      <c r="K26" s="60"/>
      <c r="L26" s="60"/>
      <c r="M26" s="60"/>
      <c r="N26" s="60"/>
      <c r="O26" s="60"/>
      <c r="P26" s="60"/>
      <c r="Q26" s="60"/>
      <c r="R26" s="60"/>
      <c r="S26" s="60"/>
      <c r="T26" s="60"/>
      <c r="U26" s="61"/>
    </row>
    <row r="27" spans="2:21" ht="33.6" customHeight="1" thickBot="1" x14ac:dyDescent="0.25">
      <c r="B27" s="62" t="s">
        <v>490</v>
      </c>
      <c r="C27" s="63"/>
      <c r="D27" s="63"/>
      <c r="E27" s="63"/>
      <c r="F27" s="63"/>
      <c r="G27" s="63"/>
      <c r="H27" s="63"/>
      <c r="I27" s="63"/>
      <c r="J27" s="63"/>
      <c r="K27" s="63"/>
      <c r="L27" s="63"/>
      <c r="M27" s="63"/>
      <c r="N27" s="63"/>
      <c r="O27" s="63"/>
      <c r="P27" s="63"/>
      <c r="Q27" s="63"/>
      <c r="R27" s="63"/>
      <c r="S27" s="63"/>
      <c r="T27" s="63"/>
      <c r="U27" s="64"/>
    </row>
  </sheetData>
  <mergeCells count="4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6:U26"/>
    <mergeCell ref="B27:U27"/>
    <mergeCell ref="B19:D19"/>
    <mergeCell ref="B20:D20"/>
    <mergeCell ref="B22:U22"/>
    <mergeCell ref="B23:U23"/>
    <mergeCell ref="B24:U24"/>
    <mergeCell ref="B25:U2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504</v>
      </c>
      <c r="D4" s="99" t="s">
        <v>505</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273</v>
      </c>
      <c r="L6" s="80"/>
      <c r="M6" s="80"/>
      <c r="N6" s="19"/>
      <c r="O6" s="20" t="s">
        <v>20</v>
      </c>
      <c r="P6" s="80" t="s">
        <v>506</v>
      </c>
      <c r="Q6" s="80"/>
      <c r="R6" s="21"/>
      <c r="S6" s="20" t="s">
        <v>22</v>
      </c>
      <c r="T6" s="80" t="s">
        <v>470</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507</v>
      </c>
      <c r="D11" s="73"/>
      <c r="E11" s="73"/>
      <c r="F11" s="73"/>
      <c r="G11" s="73"/>
      <c r="H11" s="73"/>
      <c r="I11" s="73" t="s">
        <v>508</v>
      </c>
      <c r="J11" s="73"/>
      <c r="K11" s="73"/>
      <c r="L11" s="73" t="s">
        <v>509</v>
      </c>
      <c r="M11" s="73"/>
      <c r="N11" s="73"/>
      <c r="O11" s="73"/>
      <c r="P11" s="27" t="s">
        <v>476</v>
      </c>
      <c r="Q11" s="27" t="s">
        <v>43</v>
      </c>
      <c r="R11" s="54">
        <v>40</v>
      </c>
      <c r="S11" s="54" t="s">
        <v>44</v>
      </c>
      <c r="T11" s="54" t="s">
        <v>44</v>
      </c>
      <c r="U11" s="28" t="str">
        <f>IF(ISERR(T11/S11*100),"N/A",T11/S11*100)</f>
        <v>N/A</v>
      </c>
    </row>
    <row r="12" spans="1:34" ht="75" customHeight="1" thickBot="1" x14ac:dyDescent="0.25">
      <c r="A12" s="25"/>
      <c r="B12" s="29" t="s">
        <v>45</v>
      </c>
      <c r="C12" s="72" t="s">
        <v>45</v>
      </c>
      <c r="D12" s="72"/>
      <c r="E12" s="72"/>
      <c r="F12" s="72"/>
      <c r="G12" s="72"/>
      <c r="H12" s="72"/>
      <c r="I12" s="72" t="s">
        <v>510</v>
      </c>
      <c r="J12" s="72"/>
      <c r="K12" s="72"/>
      <c r="L12" s="72" t="s">
        <v>511</v>
      </c>
      <c r="M12" s="72"/>
      <c r="N12" s="72"/>
      <c r="O12" s="72"/>
      <c r="P12" s="30" t="s">
        <v>48</v>
      </c>
      <c r="Q12" s="30" t="s">
        <v>43</v>
      </c>
      <c r="R12" s="30">
        <v>0.81</v>
      </c>
      <c r="S12" s="30" t="s">
        <v>44</v>
      </c>
      <c r="T12" s="30" t="s">
        <v>44</v>
      </c>
      <c r="U12" s="32" t="str">
        <f>IF(ISERR((S12-T12)*100/S12+100),"N/A",(S12-T12)*100/S12+100)</f>
        <v>N/A</v>
      </c>
    </row>
    <row r="13" spans="1:34" ht="75" customHeight="1" thickTop="1" thickBot="1" x14ac:dyDescent="0.25">
      <c r="A13" s="25"/>
      <c r="B13" s="26" t="s">
        <v>62</v>
      </c>
      <c r="C13" s="73" t="s">
        <v>512</v>
      </c>
      <c r="D13" s="73"/>
      <c r="E13" s="73"/>
      <c r="F13" s="73"/>
      <c r="G13" s="73"/>
      <c r="H13" s="73"/>
      <c r="I13" s="73" t="s">
        <v>513</v>
      </c>
      <c r="J13" s="73"/>
      <c r="K13" s="73"/>
      <c r="L13" s="73" t="s">
        <v>514</v>
      </c>
      <c r="M13" s="73"/>
      <c r="N13" s="73"/>
      <c r="O13" s="73"/>
      <c r="P13" s="27" t="s">
        <v>48</v>
      </c>
      <c r="Q13" s="27" t="s">
        <v>43</v>
      </c>
      <c r="R13" s="27">
        <v>96</v>
      </c>
      <c r="S13" s="27" t="s">
        <v>44</v>
      </c>
      <c r="T13" s="27" t="s">
        <v>44</v>
      </c>
      <c r="U13" s="28" t="str">
        <f>IF(ISERR(T13/S13*100),"N/A",T13/S13*100)</f>
        <v>N/A</v>
      </c>
    </row>
    <row r="14" spans="1:34" ht="75" customHeight="1" thickTop="1" thickBot="1" x14ac:dyDescent="0.25">
      <c r="A14" s="25"/>
      <c r="B14" s="26" t="s">
        <v>71</v>
      </c>
      <c r="C14" s="73" t="s">
        <v>515</v>
      </c>
      <c r="D14" s="73"/>
      <c r="E14" s="73"/>
      <c r="F14" s="73"/>
      <c r="G14" s="73"/>
      <c r="H14" s="73"/>
      <c r="I14" s="73" t="s">
        <v>516</v>
      </c>
      <c r="J14" s="73"/>
      <c r="K14" s="73"/>
      <c r="L14" s="73" t="s">
        <v>517</v>
      </c>
      <c r="M14" s="73"/>
      <c r="N14" s="73"/>
      <c r="O14" s="73"/>
      <c r="P14" s="27" t="s">
        <v>48</v>
      </c>
      <c r="Q14" s="27" t="s">
        <v>75</v>
      </c>
      <c r="R14" s="27">
        <v>99</v>
      </c>
      <c r="S14" s="27" t="s">
        <v>44</v>
      </c>
      <c r="T14" s="27" t="s">
        <v>44</v>
      </c>
      <c r="U14" s="28" t="str">
        <f>IF(ISERR(T14/S14*100),"N/A",T14/S14*100)</f>
        <v>N/A</v>
      </c>
    </row>
    <row r="15" spans="1:34" ht="75" customHeight="1" thickTop="1" thickBot="1" x14ac:dyDescent="0.25">
      <c r="A15" s="25"/>
      <c r="B15" s="26" t="s">
        <v>87</v>
      </c>
      <c r="C15" s="73" t="s">
        <v>518</v>
      </c>
      <c r="D15" s="73"/>
      <c r="E15" s="73"/>
      <c r="F15" s="73"/>
      <c r="G15" s="73"/>
      <c r="H15" s="73"/>
      <c r="I15" s="73" t="s">
        <v>519</v>
      </c>
      <c r="J15" s="73"/>
      <c r="K15" s="73"/>
      <c r="L15" s="73" t="s">
        <v>520</v>
      </c>
      <c r="M15" s="73"/>
      <c r="N15" s="73"/>
      <c r="O15" s="73"/>
      <c r="P15" s="27" t="s">
        <v>521</v>
      </c>
      <c r="Q15" s="27" t="s">
        <v>522</v>
      </c>
      <c r="R15" s="54">
        <v>5742721</v>
      </c>
      <c r="S15" s="54">
        <v>1360007</v>
      </c>
      <c r="T15" s="54">
        <v>1378831</v>
      </c>
      <c r="U15" s="28">
        <f>IF(ISERR(T15/S15*100),"N/A",T15/S15*100)</f>
        <v>101.38411052296054</v>
      </c>
    </row>
    <row r="16" spans="1:34" ht="22.5" customHeight="1" thickTop="1" thickBot="1" x14ac:dyDescent="0.25">
      <c r="B16" s="8" t="s">
        <v>98</v>
      </c>
      <c r="C16" s="9"/>
      <c r="D16" s="9"/>
      <c r="E16" s="9"/>
      <c r="F16" s="9"/>
      <c r="G16" s="9"/>
      <c r="H16" s="10"/>
      <c r="I16" s="10"/>
      <c r="J16" s="10"/>
      <c r="K16" s="10"/>
      <c r="L16" s="10"/>
      <c r="M16" s="10"/>
      <c r="N16" s="10"/>
      <c r="O16" s="10"/>
      <c r="P16" s="10"/>
      <c r="Q16" s="10"/>
      <c r="R16" s="10"/>
      <c r="S16" s="10"/>
      <c r="T16" s="10"/>
      <c r="U16" s="11"/>
      <c r="V16" s="33"/>
    </row>
    <row r="17" spans="2:21" ht="26.25" customHeight="1" thickTop="1" x14ac:dyDescent="0.2">
      <c r="B17" s="34"/>
      <c r="C17" s="35"/>
      <c r="D17" s="35"/>
      <c r="E17" s="35"/>
      <c r="F17" s="35"/>
      <c r="G17" s="35"/>
      <c r="H17" s="36"/>
      <c r="I17" s="36"/>
      <c r="J17" s="36"/>
      <c r="K17" s="36"/>
      <c r="L17" s="36"/>
      <c r="M17" s="36"/>
      <c r="N17" s="36"/>
      <c r="O17" s="36"/>
      <c r="P17" s="37"/>
      <c r="Q17" s="38"/>
      <c r="R17" s="39" t="s">
        <v>99</v>
      </c>
      <c r="S17" s="22" t="s">
        <v>100</v>
      </c>
      <c r="T17" s="39" t="s">
        <v>101</v>
      </c>
      <c r="U17" s="22" t="s">
        <v>102</v>
      </c>
    </row>
    <row r="18" spans="2:21" ht="26.25" customHeight="1" thickBot="1" x14ac:dyDescent="0.25">
      <c r="B18" s="40"/>
      <c r="C18" s="41"/>
      <c r="D18" s="41"/>
      <c r="E18" s="41"/>
      <c r="F18" s="41"/>
      <c r="G18" s="41"/>
      <c r="H18" s="42"/>
      <c r="I18" s="42"/>
      <c r="J18" s="42"/>
      <c r="K18" s="42"/>
      <c r="L18" s="42"/>
      <c r="M18" s="42"/>
      <c r="N18" s="42"/>
      <c r="O18" s="42"/>
      <c r="P18" s="43"/>
      <c r="Q18" s="44"/>
      <c r="R18" s="45" t="s">
        <v>103</v>
      </c>
      <c r="S18" s="44" t="s">
        <v>103</v>
      </c>
      <c r="T18" s="44" t="s">
        <v>103</v>
      </c>
      <c r="U18" s="44" t="s">
        <v>104</v>
      </c>
    </row>
    <row r="19" spans="2:21" ht="13.5" customHeight="1" thickBot="1" x14ac:dyDescent="0.25">
      <c r="B19" s="65" t="s">
        <v>105</v>
      </c>
      <c r="C19" s="66"/>
      <c r="D19" s="66"/>
      <c r="E19" s="46"/>
      <c r="F19" s="46"/>
      <c r="G19" s="46"/>
      <c r="H19" s="47"/>
      <c r="I19" s="47"/>
      <c r="J19" s="47"/>
      <c r="K19" s="47"/>
      <c r="L19" s="47"/>
      <c r="M19" s="47"/>
      <c r="N19" s="47"/>
      <c r="O19" s="47"/>
      <c r="P19" s="48"/>
      <c r="Q19" s="48"/>
      <c r="R19" s="49">
        <f>17063.372467</f>
        <v>17063.372467000001</v>
      </c>
      <c r="S19" s="49">
        <f>12790.505921</f>
        <v>12790.505921</v>
      </c>
      <c r="T19" s="49">
        <f>13231.11968704</f>
        <v>13231.11968704</v>
      </c>
      <c r="U19" s="50">
        <f>+IF(ISERR(T19/S19*100),"N/A",T19/S19*100)</f>
        <v>103.44485017841696</v>
      </c>
    </row>
    <row r="20" spans="2:21" ht="13.5" customHeight="1" thickBot="1" x14ac:dyDescent="0.25">
      <c r="B20" s="67" t="s">
        <v>106</v>
      </c>
      <c r="C20" s="68"/>
      <c r="D20" s="68"/>
      <c r="E20" s="51"/>
      <c r="F20" s="51"/>
      <c r="G20" s="51"/>
      <c r="H20" s="52"/>
      <c r="I20" s="52"/>
      <c r="J20" s="52"/>
      <c r="K20" s="52"/>
      <c r="L20" s="52"/>
      <c r="M20" s="52"/>
      <c r="N20" s="52"/>
      <c r="O20" s="52"/>
      <c r="P20" s="53"/>
      <c r="Q20" s="53"/>
      <c r="R20" s="49">
        <f>17286.934018</f>
        <v>17286.934018</v>
      </c>
      <c r="S20" s="49">
        <f>12998.167214</f>
        <v>12998.167213999999</v>
      </c>
      <c r="T20" s="49">
        <f>13231.11968704</f>
        <v>13231.11968704</v>
      </c>
      <c r="U20" s="50">
        <f>+IF(ISERR(T20/S20*100),"N/A",T20/S20*100)</f>
        <v>101.79219477026803</v>
      </c>
    </row>
    <row r="21" spans="2:21" ht="14.85" customHeight="1" thickTop="1" thickBot="1" x14ac:dyDescent="0.25">
      <c r="B21" s="8" t="s">
        <v>107</v>
      </c>
      <c r="C21" s="9"/>
      <c r="D21" s="9"/>
      <c r="E21" s="9"/>
      <c r="F21" s="9"/>
      <c r="G21" s="9"/>
      <c r="H21" s="10"/>
      <c r="I21" s="10"/>
      <c r="J21" s="10"/>
      <c r="K21" s="10"/>
      <c r="L21" s="10"/>
      <c r="M21" s="10"/>
      <c r="N21" s="10"/>
      <c r="O21" s="10"/>
      <c r="P21" s="10"/>
      <c r="Q21" s="10"/>
      <c r="R21" s="10"/>
      <c r="S21" s="10"/>
      <c r="T21" s="10"/>
      <c r="U21" s="11"/>
    </row>
    <row r="22" spans="2:21" ht="44.25" customHeight="1" thickTop="1" x14ac:dyDescent="0.2">
      <c r="B22" s="69" t="s">
        <v>108</v>
      </c>
      <c r="C22" s="70"/>
      <c r="D22" s="70"/>
      <c r="E22" s="70"/>
      <c r="F22" s="70"/>
      <c r="G22" s="70"/>
      <c r="H22" s="70"/>
      <c r="I22" s="70"/>
      <c r="J22" s="70"/>
      <c r="K22" s="70"/>
      <c r="L22" s="70"/>
      <c r="M22" s="70"/>
      <c r="N22" s="70"/>
      <c r="O22" s="70"/>
      <c r="P22" s="70"/>
      <c r="Q22" s="70"/>
      <c r="R22" s="70"/>
      <c r="S22" s="70"/>
      <c r="T22" s="70"/>
      <c r="U22" s="71"/>
    </row>
    <row r="23" spans="2:21" ht="34.5" customHeight="1" x14ac:dyDescent="0.2">
      <c r="B23" s="59" t="s">
        <v>523</v>
      </c>
      <c r="C23" s="60"/>
      <c r="D23" s="60"/>
      <c r="E23" s="60"/>
      <c r="F23" s="60"/>
      <c r="G23" s="60"/>
      <c r="H23" s="60"/>
      <c r="I23" s="60"/>
      <c r="J23" s="60"/>
      <c r="K23" s="60"/>
      <c r="L23" s="60"/>
      <c r="M23" s="60"/>
      <c r="N23" s="60"/>
      <c r="O23" s="60"/>
      <c r="P23" s="60"/>
      <c r="Q23" s="60"/>
      <c r="R23" s="60"/>
      <c r="S23" s="60"/>
      <c r="T23" s="60"/>
      <c r="U23" s="61"/>
    </row>
    <row r="24" spans="2:21" ht="34.5" customHeight="1" x14ac:dyDescent="0.2">
      <c r="B24" s="59" t="s">
        <v>524</v>
      </c>
      <c r="C24" s="60"/>
      <c r="D24" s="60"/>
      <c r="E24" s="60"/>
      <c r="F24" s="60"/>
      <c r="G24" s="60"/>
      <c r="H24" s="60"/>
      <c r="I24" s="60"/>
      <c r="J24" s="60"/>
      <c r="K24" s="60"/>
      <c r="L24" s="60"/>
      <c r="M24" s="60"/>
      <c r="N24" s="60"/>
      <c r="O24" s="60"/>
      <c r="P24" s="60"/>
      <c r="Q24" s="60"/>
      <c r="R24" s="60"/>
      <c r="S24" s="60"/>
      <c r="T24" s="60"/>
      <c r="U24" s="61"/>
    </row>
    <row r="25" spans="2:21" ht="34.5" customHeight="1" x14ac:dyDescent="0.2">
      <c r="B25" s="59" t="s">
        <v>525</v>
      </c>
      <c r="C25" s="60"/>
      <c r="D25" s="60"/>
      <c r="E25" s="60"/>
      <c r="F25" s="60"/>
      <c r="G25" s="60"/>
      <c r="H25" s="60"/>
      <c r="I25" s="60"/>
      <c r="J25" s="60"/>
      <c r="K25" s="60"/>
      <c r="L25" s="60"/>
      <c r="M25" s="60"/>
      <c r="N25" s="60"/>
      <c r="O25" s="60"/>
      <c r="P25" s="60"/>
      <c r="Q25" s="60"/>
      <c r="R25" s="60"/>
      <c r="S25" s="60"/>
      <c r="T25" s="60"/>
      <c r="U25" s="61"/>
    </row>
    <row r="26" spans="2:21" ht="34.5" customHeight="1" x14ac:dyDescent="0.2">
      <c r="B26" s="59" t="s">
        <v>526</v>
      </c>
      <c r="C26" s="60"/>
      <c r="D26" s="60"/>
      <c r="E26" s="60"/>
      <c r="F26" s="60"/>
      <c r="G26" s="60"/>
      <c r="H26" s="60"/>
      <c r="I26" s="60"/>
      <c r="J26" s="60"/>
      <c r="K26" s="60"/>
      <c r="L26" s="60"/>
      <c r="M26" s="60"/>
      <c r="N26" s="60"/>
      <c r="O26" s="60"/>
      <c r="P26" s="60"/>
      <c r="Q26" s="60"/>
      <c r="R26" s="60"/>
      <c r="S26" s="60"/>
      <c r="T26" s="60"/>
      <c r="U26" s="61"/>
    </row>
    <row r="27" spans="2:21" ht="41.25" customHeight="1" thickBot="1" x14ac:dyDescent="0.25">
      <c r="B27" s="62" t="s">
        <v>527</v>
      </c>
      <c r="C27" s="63"/>
      <c r="D27" s="63"/>
      <c r="E27" s="63"/>
      <c r="F27" s="63"/>
      <c r="G27" s="63"/>
      <c r="H27" s="63"/>
      <c r="I27" s="63"/>
      <c r="J27" s="63"/>
      <c r="K27" s="63"/>
      <c r="L27" s="63"/>
      <c r="M27" s="63"/>
      <c r="N27" s="63"/>
      <c r="O27" s="63"/>
      <c r="P27" s="63"/>
      <c r="Q27" s="63"/>
      <c r="R27" s="63"/>
      <c r="S27" s="63"/>
      <c r="T27" s="63"/>
      <c r="U27" s="64"/>
    </row>
  </sheetData>
  <mergeCells count="4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6:U26"/>
    <mergeCell ref="B27:U27"/>
    <mergeCell ref="B19:D19"/>
    <mergeCell ref="B20:D20"/>
    <mergeCell ref="B22:U22"/>
    <mergeCell ref="B23:U23"/>
    <mergeCell ref="B24:U24"/>
    <mergeCell ref="B25:U2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528</v>
      </c>
      <c r="D4" s="99" t="s">
        <v>529</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130</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530</v>
      </c>
      <c r="D11" s="73"/>
      <c r="E11" s="73"/>
      <c r="F11" s="73"/>
      <c r="G11" s="73"/>
      <c r="H11" s="73"/>
      <c r="I11" s="73" t="s">
        <v>531</v>
      </c>
      <c r="J11" s="73"/>
      <c r="K11" s="73"/>
      <c r="L11" s="73" t="s">
        <v>532</v>
      </c>
      <c r="M11" s="73"/>
      <c r="N11" s="73"/>
      <c r="O11" s="73"/>
      <c r="P11" s="27" t="s">
        <v>533</v>
      </c>
      <c r="Q11" s="27" t="s">
        <v>43</v>
      </c>
      <c r="R11" s="54">
        <v>146183</v>
      </c>
      <c r="S11" s="54" t="s">
        <v>44</v>
      </c>
      <c r="T11" s="54" t="s">
        <v>44</v>
      </c>
      <c r="U11" s="28" t="str">
        <f>IF(ISERR(T11/S11*100),"N/A",T11/S11*100)</f>
        <v>N/A</v>
      </c>
    </row>
    <row r="12" spans="1:34" ht="75" customHeight="1" thickBot="1" x14ac:dyDescent="0.25">
      <c r="A12" s="25"/>
      <c r="B12" s="29" t="s">
        <v>45</v>
      </c>
      <c r="C12" s="72" t="s">
        <v>45</v>
      </c>
      <c r="D12" s="72"/>
      <c r="E12" s="72"/>
      <c r="F12" s="72"/>
      <c r="G12" s="72"/>
      <c r="H12" s="72"/>
      <c r="I12" s="72" t="s">
        <v>534</v>
      </c>
      <c r="J12" s="72"/>
      <c r="K12" s="72"/>
      <c r="L12" s="72" t="s">
        <v>535</v>
      </c>
      <c r="M12" s="72"/>
      <c r="N12" s="72"/>
      <c r="O12" s="72"/>
      <c r="P12" s="30" t="s">
        <v>48</v>
      </c>
      <c r="Q12" s="30" t="s">
        <v>61</v>
      </c>
      <c r="R12" s="31">
        <v>85</v>
      </c>
      <c r="S12" s="31" t="s">
        <v>44</v>
      </c>
      <c r="T12" s="31" t="s">
        <v>44</v>
      </c>
      <c r="U12" s="32" t="str">
        <f>IF(ISERR(T12/S12*100),"N/A",T12/S12*100)</f>
        <v>N/A</v>
      </c>
    </row>
    <row r="13" spans="1:34" ht="75" customHeight="1" thickTop="1" thickBot="1" x14ac:dyDescent="0.25">
      <c r="A13" s="25"/>
      <c r="B13" s="26" t="s">
        <v>62</v>
      </c>
      <c r="C13" s="73" t="s">
        <v>536</v>
      </c>
      <c r="D13" s="73"/>
      <c r="E13" s="73"/>
      <c r="F13" s="73"/>
      <c r="G13" s="73"/>
      <c r="H13" s="73"/>
      <c r="I13" s="73" t="s">
        <v>537</v>
      </c>
      <c r="J13" s="73"/>
      <c r="K13" s="73"/>
      <c r="L13" s="73" t="s">
        <v>538</v>
      </c>
      <c r="M13" s="73"/>
      <c r="N13" s="73"/>
      <c r="O13" s="73"/>
      <c r="P13" s="27" t="s">
        <v>212</v>
      </c>
      <c r="Q13" s="27" t="s">
        <v>43</v>
      </c>
      <c r="R13" s="27">
        <v>21.95</v>
      </c>
      <c r="S13" s="27" t="s">
        <v>44</v>
      </c>
      <c r="T13" s="27" t="s">
        <v>44</v>
      </c>
      <c r="U13" s="28" t="str">
        <f>IF(ISERR(T13/S13*100),"N/A",T13/S13*100)</f>
        <v>N/A</v>
      </c>
    </row>
    <row r="14" spans="1:34" ht="75" customHeight="1" thickTop="1" thickBot="1" x14ac:dyDescent="0.25">
      <c r="A14" s="25"/>
      <c r="B14" s="26" t="s">
        <v>71</v>
      </c>
      <c r="C14" s="73" t="s">
        <v>539</v>
      </c>
      <c r="D14" s="73"/>
      <c r="E14" s="73"/>
      <c r="F14" s="73"/>
      <c r="G14" s="73"/>
      <c r="H14" s="73"/>
      <c r="I14" s="73" t="s">
        <v>540</v>
      </c>
      <c r="J14" s="73"/>
      <c r="K14" s="73"/>
      <c r="L14" s="73" t="s">
        <v>541</v>
      </c>
      <c r="M14" s="73"/>
      <c r="N14" s="73"/>
      <c r="O14" s="73"/>
      <c r="P14" s="27" t="s">
        <v>48</v>
      </c>
      <c r="Q14" s="27" t="s">
        <v>258</v>
      </c>
      <c r="R14" s="27">
        <v>100</v>
      </c>
      <c r="S14" s="27" t="s">
        <v>44</v>
      </c>
      <c r="T14" s="27" t="s">
        <v>44</v>
      </c>
      <c r="U14" s="28" t="str">
        <f>IF(ISERR(T14/S14*100),"N/A",T14/S14*100)</f>
        <v>N/A</v>
      </c>
    </row>
    <row r="15" spans="1:34" ht="75" customHeight="1" thickTop="1" thickBot="1" x14ac:dyDescent="0.25">
      <c r="A15" s="25"/>
      <c r="B15" s="26" t="s">
        <v>87</v>
      </c>
      <c r="C15" s="73" t="s">
        <v>542</v>
      </c>
      <c r="D15" s="73"/>
      <c r="E15" s="73"/>
      <c r="F15" s="73"/>
      <c r="G15" s="73"/>
      <c r="H15" s="73"/>
      <c r="I15" s="73" t="s">
        <v>543</v>
      </c>
      <c r="J15" s="73"/>
      <c r="K15" s="73"/>
      <c r="L15" s="73" t="s">
        <v>544</v>
      </c>
      <c r="M15" s="73"/>
      <c r="N15" s="73"/>
      <c r="O15" s="73"/>
      <c r="P15" s="27" t="s">
        <v>48</v>
      </c>
      <c r="Q15" s="27" t="s">
        <v>91</v>
      </c>
      <c r="R15" s="27">
        <v>100</v>
      </c>
      <c r="S15" s="27">
        <v>13.79</v>
      </c>
      <c r="T15" s="27">
        <v>13.79</v>
      </c>
      <c r="U15" s="28">
        <f>IF(ISERR(T15/S15*100),"N/A",T15/S15*100)</f>
        <v>100</v>
      </c>
    </row>
    <row r="16" spans="1:34" ht="22.5" customHeight="1" thickTop="1" thickBot="1" x14ac:dyDescent="0.25">
      <c r="B16" s="8" t="s">
        <v>98</v>
      </c>
      <c r="C16" s="9"/>
      <c r="D16" s="9"/>
      <c r="E16" s="9"/>
      <c r="F16" s="9"/>
      <c r="G16" s="9"/>
      <c r="H16" s="10"/>
      <c r="I16" s="10"/>
      <c r="J16" s="10"/>
      <c r="K16" s="10"/>
      <c r="L16" s="10"/>
      <c r="M16" s="10"/>
      <c r="N16" s="10"/>
      <c r="O16" s="10"/>
      <c r="P16" s="10"/>
      <c r="Q16" s="10"/>
      <c r="R16" s="10"/>
      <c r="S16" s="10"/>
      <c r="T16" s="10"/>
      <c r="U16" s="11"/>
      <c r="V16" s="33"/>
    </row>
    <row r="17" spans="2:21" ht="26.25" customHeight="1" thickTop="1" x14ac:dyDescent="0.2">
      <c r="B17" s="34"/>
      <c r="C17" s="35"/>
      <c r="D17" s="35"/>
      <c r="E17" s="35"/>
      <c r="F17" s="35"/>
      <c r="G17" s="35"/>
      <c r="H17" s="36"/>
      <c r="I17" s="36"/>
      <c r="J17" s="36"/>
      <c r="K17" s="36"/>
      <c r="L17" s="36"/>
      <c r="M17" s="36"/>
      <c r="N17" s="36"/>
      <c r="O17" s="36"/>
      <c r="P17" s="37"/>
      <c r="Q17" s="38"/>
      <c r="R17" s="39" t="s">
        <v>99</v>
      </c>
      <c r="S17" s="22" t="s">
        <v>100</v>
      </c>
      <c r="T17" s="39" t="s">
        <v>101</v>
      </c>
      <c r="U17" s="22" t="s">
        <v>102</v>
      </c>
    </row>
    <row r="18" spans="2:21" ht="26.25" customHeight="1" thickBot="1" x14ac:dyDescent="0.25">
      <c r="B18" s="40"/>
      <c r="C18" s="41"/>
      <c r="D18" s="41"/>
      <c r="E18" s="41"/>
      <c r="F18" s="41"/>
      <c r="G18" s="41"/>
      <c r="H18" s="42"/>
      <c r="I18" s="42"/>
      <c r="J18" s="42"/>
      <c r="K18" s="42"/>
      <c r="L18" s="42"/>
      <c r="M18" s="42"/>
      <c r="N18" s="42"/>
      <c r="O18" s="42"/>
      <c r="P18" s="43"/>
      <c r="Q18" s="44"/>
      <c r="R18" s="45" t="s">
        <v>103</v>
      </c>
      <c r="S18" s="44" t="s">
        <v>103</v>
      </c>
      <c r="T18" s="44" t="s">
        <v>103</v>
      </c>
      <c r="U18" s="44" t="s">
        <v>104</v>
      </c>
    </row>
    <row r="19" spans="2:21" ht="13.5" customHeight="1" thickBot="1" x14ac:dyDescent="0.25">
      <c r="B19" s="65" t="s">
        <v>105</v>
      </c>
      <c r="C19" s="66"/>
      <c r="D19" s="66"/>
      <c r="E19" s="46"/>
      <c r="F19" s="46"/>
      <c r="G19" s="46"/>
      <c r="H19" s="47"/>
      <c r="I19" s="47"/>
      <c r="J19" s="47"/>
      <c r="K19" s="47"/>
      <c r="L19" s="47"/>
      <c r="M19" s="47"/>
      <c r="N19" s="47"/>
      <c r="O19" s="47"/>
      <c r="P19" s="48"/>
      <c r="Q19" s="48"/>
      <c r="R19" s="49">
        <f>4954.872398</f>
        <v>4954.8723980000004</v>
      </c>
      <c r="S19" s="49">
        <f>3631.040851</f>
        <v>3631.0408510000002</v>
      </c>
      <c r="T19" s="49">
        <f>1776.92820138</f>
        <v>1776.92820138</v>
      </c>
      <c r="U19" s="50">
        <f>+IF(ISERR(T19/S19*100),"N/A",T19/S19*100)</f>
        <v>48.937158084867818</v>
      </c>
    </row>
    <row r="20" spans="2:21" ht="13.5" customHeight="1" thickBot="1" x14ac:dyDescent="0.25">
      <c r="B20" s="67" t="s">
        <v>106</v>
      </c>
      <c r="C20" s="68"/>
      <c r="D20" s="68"/>
      <c r="E20" s="51"/>
      <c r="F20" s="51"/>
      <c r="G20" s="51"/>
      <c r="H20" s="52"/>
      <c r="I20" s="52"/>
      <c r="J20" s="52"/>
      <c r="K20" s="52"/>
      <c r="L20" s="52"/>
      <c r="M20" s="52"/>
      <c r="N20" s="52"/>
      <c r="O20" s="52"/>
      <c r="P20" s="53"/>
      <c r="Q20" s="53"/>
      <c r="R20" s="49">
        <f>5992.42866897</f>
        <v>5992.4286689700002</v>
      </c>
      <c r="S20" s="49">
        <f>1937.01286316</f>
        <v>1937.0128631600001</v>
      </c>
      <c r="T20" s="49">
        <f>1776.92820138</f>
        <v>1776.92820138</v>
      </c>
      <c r="U20" s="50">
        <f>+IF(ISERR(T20/S20*100),"N/A",T20/S20*100)</f>
        <v>91.735487934817257</v>
      </c>
    </row>
    <row r="21" spans="2:21" ht="14.85" customHeight="1" thickTop="1" thickBot="1" x14ac:dyDescent="0.25">
      <c r="B21" s="8" t="s">
        <v>107</v>
      </c>
      <c r="C21" s="9"/>
      <c r="D21" s="9"/>
      <c r="E21" s="9"/>
      <c r="F21" s="9"/>
      <c r="G21" s="9"/>
      <c r="H21" s="10"/>
      <c r="I21" s="10"/>
      <c r="J21" s="10"/>
      <c r="K21" s="10"/>
      <c r="L21" s="10"/>
      <c r="M21" s="10"/>
      <c r="N21" s="10"/>
      <c r="O21" s="10"/>
      <c r="P21" s="10"/>
      <c r="Q21" s="10"/>
      <c r="R21" s="10"/>
      <c r="S21" s="10"/>
      <c r="T21" s="10"/>
      <c r="U21" s="11"/>
    </row>
    <row r="22" spans="2:21" ht="44.25" customHeight="1" thickTop="1" x14ac:dyDescent="0.2">
      <c r="B22" s="69" t="s">
        <v>108</v>
      </c>
      <c r="C22" s="70"/>
      <c r="D22" s="70"/>
      <c r="E22" s="70"/>
      <c r="F22" s="70"/>
      <c r="G22" s="70"/>
      <c r="H22" s="70"/>
      <c r="I22" s="70"/>
      <c r="J22" s="70"/>
      <c r="K22" s="70"/>
      <c r="L22" s="70"/>
      <c r="M22" s="70"/>
      <c r="N22" s="70"/>
      <c r="O22" s="70"/>
      <c r="P22" s="70"/>
      <c r="Q22" s="70"/>
      <c r="R22" s="70"/>
      <c r="S22" s="70"/>
      <c r="T22" s="70"/>
      <c r="U22" s="71"/>
    </row>
    <row r="23" spans="2:21" ht="34.5" customHeight="1" x14ac:dyDescent="0.2">
      <c r="B23" s="59" t="s">
        <v>545</v>
      </c>
      <c r="C23" s="60"/>
      <c r="D23" s="60"/>
      <c r="E23" s="60"/>
      <c r="F23" s="60"/>
      <c r="G23" s="60"/>
      <c r="H23" s="60"/>
      <c r="I23" s="60"/>
      <c r="J23" s="60"/>
      <c r="K23" s="60"/>
      <c r="L23" s="60"/>
      <c r="M23" s="60"/>
      <c r="N23" s="60"/>
      <c r="O23" s="60"/>
      <c r="P23" s="60"/>
      <c r="Q23" s="60"/>
      <c r="R23" s="60"/>
      <c r="S23" s="60"/>
      <c r="T23" s="60"/>
      <c r="U23" s="61"/>
    </row>
    <row r="24" spans="2:21" ht="34.5" customHeight="1" x14ac:dyDescent="0.2">
      <c r="B24" s="59" t="s">
        <v>546</v>
      </c>
      <c r="C24" s="60"/>
      <c r="D24" s="60"/>
      <c r="E24" s="60"/>
      <c r="F24" s="60"/>
      <c r="G24" s="60"/>
      <c r="H24" s="60"/>
      <c r="I24" s="60"/>
      <c r="J24" s="60"/>
      <c r="K24" s="60"/>
      <c r="L24" s="60"/>
      <c r="M24" s="60"/>
      <c r="N24" s="60"/>
      <c r="O24" s="60"/>
      <c r="P24" s="60"/>
      <c r="Q24" s="60"/>
      <c r="R24" s="60"/>
      <c r="S24" s="60"/>
      <c r="T24" s="60"/>
      <c r="U24" s="61"/>
    </row>
    <row r="25" spans="2:21" ht="34.5" customHeight="1" x14ac:dyDescent="0.2">
      <c r="B25" s="59" t="s">
        <v>547</v>
      </c>
      <c r="C25" s="60"/>
      <c r="D25" s="60"/>
      <c r="E25" s="60"/>
      <c r="F25" s="60"/>
      <c r="G25" s="60"/>
      <c r="H25" s="60"/>
      <c r="I25" s="60"/>
      <c r="J25" s="60"/>
      <c r="K25" s="60"/>
      <c r="L25" s="60"/>
      <c r="M25" s="60"/>
      <c r="N25" s="60"/>
      <c r="O25" s="60"/>
      <c r="P25" s="60"/>
      <c r="Q25" s="60"/>
      <c r="R25" s="60"/>
      <c r="S25" s="60"/>
      <c r="T25" s="60"/>
      <c r="U25" s="61"/>
    </row>
    <row r="26" spans="2:21" ht="34.5" customHeight="1" x14ac:dyDescent="0.2">
      <c r="B26" s="59" t="s">
        <v>548</v>
      </c>
      <c r="C26" s="60"/>
      <c r="D26" s="60"/>
      <c r="E26" s="60"/>
      <c r="F26" s="60"/>
      <c r="G26" s="60"/>
      <c r="H26" s="60"/>
      <c r="I26" s="60"/>
      <c r="J26" s="60"/>
      <c r="K26" s="60"/>
      <c r="L26" s="60"/>
      <c r="M26" s="60"/>
      <c r="N26" s="60"/>
      <c r="O26" s="60"/>
      <c r="P26" s="60"/>
      <c r="Q26" s="60"/>
      <c r="R26" s="60"/>
      <c r="S26" s="60"/>
      <c r="T26" s="60"/>
      <c r="U26" s="61"/>
    </row>
    <row r="27" spans="2:21" ht="34.5" customHeight="1" thickBot="1" x14ac:dyDescent="0.25">
      <c r="B27" s="62" t="s">
        <v>549</v>
      </c>
      <c r="C27" s="63"/>
      <c r="D27" s="63"/>
      <c r="E27" s="63"/>
      <c r="F27" s="63"/>
      <c r="G27" s="63"/>
      <c r="H27" s="63"/>
      <c r="I27" s="63"/>
      <c r="J27" s="63"/>
      <c r="K27" s="63"/>
      <c r="L27" s="63"/>
      <c r="M27" s="63"/>
      <c r="N27" s="63"/>
      <c r="O27" s="63"/>
      <c r="P27" s="63"/>
      <c r="Q27" s="63"/>
      <c r="R27" s="63"/>
      <c r="S27" s="63"/>
      <c r="T27" s="63"/>
      <c r="U27" s="64"/>
    </row>
  </sheetData>
  <mergeCells count="4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6:U26"/>
    <mergeCell ref="B27:U27"/>
    <mergeCell ref="B19:D19"/>
    <mergeCell ref="B20:D20"/>
    <mergeCell ref="B22:U22"/>
    <mergeCell ref="B23:U23"/>
    <mergeCell ref="B24:U24"/>
    <mergeCell ref="B25:U2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550</v>
      </c>
      <c r="D4" s="99" t="s">
        <v>551</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130</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x14ac:dyDescent="0.25">
      <c r="A11" s="25"/>
      <c r="B11" s="26" t="s">
        <v>38</v>
      </c>
      <c r="C11" s="73" t="s">
        <v>552</v>
      </c>
      <c r="D11" s="73"/>
      <c r="E11" s="73"/>
      <c r="F11" s="73"/>
      <c r="G11" s="73"/>
      <c r="H11" s="73"/>
      <c r="I11" s="73" t="s">
        <v>534</v>
      </c>
      <c r="J11" s="73"/>
      <c r="K11" s="73"/>
      <c r="L11" s="73" t="s">
        <v>535</v>
      </c>
      <c r="M11" s="73"/>
      <c r="N11" s="73"/>
      <c r="O11" s="73"/>
      <c r="P11" s="27" t="s">
        <v>48</v>
      </c>
      <c r="Q11" s="27" t="s">
        <v>61</v>
      </c>
      <c r="R11" s="54">
        <v>85</v>
      </c>
      <c r="S11" s="54" t="s">
        <v>44</v>
      </c>
      <c r="T11" s="54" t="s">
        <v>44</v>
      </c>
      <c r="U11" s="28" t="str">
        <f t="shared" ref="U11:U19" si="0">IF(ISERR(T11/S11*100),"N/A",T11/S11*100)</f>
        <v>N/A</v>
      </c>
    </row>
    <row r="12" spans="1:34" ht="75" customHeight="1" thickTop="1" x14ac:dyDescent="0.2">
      <c r="A12" s="25"/>
      <c r="B12" s="26" t="s">
        <v>62</v>
      </c>
      <c r="C12" s="73" t="s">
        <v>553</v>
      </c>
      <c r="D12" s="73"/>
      <c r="E12" s="73"/>
      <c r="F12" s="73"/>
      <c r="G12" s="73"/>
      <c r="H12" s="73"/>
      <c r="I12" s="73" t="s">
        <v>554</v>
      </c>
      <c r="J12" s="73"/>
      <c r="K12" s="73"/>
      <c r="L12" s="73" t="s">
        <v>555</v>
      </c>
      <c r="M12" s="73"/>
      <c r="N12" s="73"/>
      <c r="O12" s="73"/>
      <c r="P12" s="27" t="s">
        <v>556</v>
      </c>
      <c r="Q12" s="27" t="s">
        <v>284</v>
      </c>
      <c r="R12" s="27">
        <v>18</v>
      </c>
      <c r="S12" s="27" t="s">
        <v>44</v>
      </c>
      <c r="T12" s="27" t="s">
        <v>44</v>
      </c>
      <c r="U12" s="28" t="str">
        <f t="shared" si="0"/>
        <v>N/A</v>
      </c>
    </row>
    <row r="13" spans="1:34" ht="75" customHeight="1" thickBot="1" x14ac:dyDescent="0.25">
      <c r="A13" s="25"/>
      <c r="B13" s="29" t="s">
        <v>45</v>
      </c>
      <c r="C13" s="72" t="s">
        <v>45</v>
      </c>
      <c r="D13" s="72"/>
      <c r="E13" s="72"/>
      <c r="F13" s="72"/>
      <c r="G13" s="72"/>
      <c r="H13" s="72"/>
      <c r="I13" s="72" t="s">
        <v>557</v>
      </c>
      <c r="J13" s="72"/>
      <c r="K13" s="72"/>
      <c r="L13" s="72" t="s">
        <v>558</v>
      </c>
      <c r="M13" s="72"/>
      <c r="N13" s="72"/>
      <c r="O13" s="72"/>
      <c r="P13" s="30" t="s">
        <v>48</v>
      </c>
      <c r="Q13" s="30" t="s">
        <v>43</v>
      </c>
      <c r="R13" s="30">
        <v>80.510000000000005</v>
      </c>
      <c r="S13" s="30" t="s">
        <v>44</v>
      </c>
      <c r="T13" s="30" t="s">
        <v>44</v>
      </c>
      <c r="U13" s="32" t="str">
        <f t="shared" si="0"/>
        <v>N/A</v>
      </c>
    </row>
    <row r="14" spans="1:34" ht="75" customHeight="1" thickTop="1" x14ac:dyDescent="0.2">
      <c r="A14" s="25"/>
      <c r="B14" s="26" t="s">
        <v>71</v>
      </c>
      <c r="C14" s="73" t="s">
        <v>559</v>
      </c>
      <c r="D14" s="73"/>
      <c r="E14" s="73"/>
      <c r="F14" s="73"/>
      <c r="G14" s="73"/>
      <c r="H14" s="73"/>
      <c r="I14" s="73" t="s">
        <v>560</v>
      </c>
      <c r="J14" s="73"/>
      <c r="K14" s="73"/>
      <c r="L14" s="73" t="s">
        <v>561</v>
      </c>
      <c r="M14" s="73"/>
      <c r="N14" s="73"/>
      <c r="O14" s="73"/>
      <c r="P14" s="27" t="s">
        <v>48</v>
      </c>
      <c r="Q14" s="27" t="s">
        <v>43</v>
      </c>
      <c r="R14" s="27">
        <v>90</v>
      </c>
      <c r="S14" s="27" t="s">
        <v>44</v>
      </c>
      <c r="T14" s="27" t="s">
        <v>44</v>
      </c>
      <c r="U14" s="28" t="str">
        <f t="shared" si="0"/>
        <v>N/A</v>
      </c>
    </row>
    <row r="15" spans="1:34" ht="75" customHeight="1" thickBot="1" x14ac:dyDescent="0.25">
      <c r="A15" s="25"/>
      <c r="B15" s="29" t="s">
        <v>45</v>
      </c>
      <c r="C15" s="72" t="s">
        <v>45</v>
      </c>
      <c r="D15" s="72"/>
      <c r="E15" s="72"/>
      <c r="F15" s="72"/>
      <c r="G15" s="72"/>
      <c r="H15" s="72"/>
      <c r="I15" s="72" t="s">
        <v>562</v>
      </c>
      <c r="J15" s="72"/>
      <c r="K15" s="72"/>
      <c r="L15" s="72" t="s">
        <v>563</v>
      </c>
      <c r="M15" s="72"/>
      <c r="N15" s="72"/>
      <c r="O15" s="72"/>
      <c r="P15" s="30" t="s">
        <v>48</v>
      </c>
      <c r="Q15" s="30" t="s">
        <v>61</v>
      </c>
      <c r="R15" s="30">
        <v>80</v>
      </c>
      <c r="S15" s="30" t="s">
        <v>44</v>
      </c>
      <c r="T15" s="30" t="s">
        <v>44</v>
      </c>
      <c r="U15" s="32" t="str">
        <f t="shared" si="0"/>
        <v>N/A</v>
      </c>
    </row>
    <row r="16" spans="1:34" ht="75" customHeight="1" thickTop="1" x14ac:dyDescent="0.2">
      <c r="A16" s="25"/>
      <c r="B16" s="26" t="s">
        <v>87</v>
      </c>
      <c r="C16" s="73" t="s">
        <v>564</v>
      </c>
      <c r="D16" s="73"/>
      <c r="E16" s="73"/>
      <c r="F16" s="73"/>
      <c r="G16" s="73"/>
      <c r="H16" s="73"/>
      <c r="I16" s="73" t="s">
        <v>565</v>
      </c>
      <c r="J16" s="73"/>
      <c r="K16" s="73"/>
      <c r="L16" s="73" t="s">
        <v>566</v>
      </c>
      <c r="M16" s="73"/>
      <c r="N16" s="73"/>
      <c r="O16" s="73"/>
      <c r="P16" s="27" t="s">
        <v>48</v>
      </c>
      <c r="Q16" s="27" t="s">
        <v>61</v>
      </c>
      <c r="R16" s="27">
        <v>80.319999999999993</v>
      </c>
      <c r="S16" s="27" t="s">
        <v>44</v>
      </c>
      <c r="T16" s="27" t="s">
        <v>44</v>
      </c>
      <c r="U16" s="28" t="str">
        <f t="shared" si="0"/>
        <v>N/A</v>
      </c>
    </row>
    <row r="17" spans="1:22" ht="75" customHeight="1" x14ac:dyDescent="0.2">
      <c r="A17" s="25"/>
      <c r="B17" s="29" t="s">
        <v>45</v>
      </c>
      <c r="C17" s="72" t="s">
        <v>45</v>
      </c>
      <c r="D17" s="72"/>
      <c r="E17" s="72"/>
      <c r="F17" s="72"/>
      <c r="G17" s="72"/>
      <c r="H17" s="72"/>
      <c r="I17" s="72" t="s">
        <v>567</v>
      </c>
      <c r="J17" s="72"/>
      <c r="K17" s="72"/>
      <c r="L17" s="72" t="s">
        <v>568</v>
      </c>
      <c r="M17" s="72"/>
      <c r="N17" s="72"/>
      <c r="O17" s="72"/>
      <c r="P17" s="30" t="s">
        <v>48</v>
      </c>
      <c r="Q17" s="30" t="s">
        <v>569</v>
      </c>
      <c r="R17" s="30">
        <v>95</v>
      </c>
      <c r="S17" s="30" t="s">
        <v>44</v>
      </c>
      <c r="T17" s="30" t="s">
        <v>44</v>
      </c>
      <c r="U17" s="32" t="str">
        <f t="shared" si="0"/>
        <v>N/A</v>
      </c>
    </row>
    <row r="18" spans="1:22" ht="75" customHeight="1" x14ac:dyDescent="0.2">
      <c r="A18" s="25"/>
      <c r="B18" s="29" t="s">
        <v>45</v>
      </c>
      <c r="C18" s="72" t="s">
        <v>570</v>
      </c>
      <c r="D18" s="72"/>
      <c r="E18" s="72"/>
      <c r="F18" s="72"/>
      <c r="G18" s="72"/>
      <c r="H18" s="72"/>
      <c r="I18" s="72" t="s">
        <v>571</v>
      </c>
      <c r="J18" s="72"/>
      <c r="K18" s="72"/>
      <c r="L18" s="72" t="s">
        <v>572</v>
      </c>
      <c r="M18" s="72"/>
      <c r="N18" s="72"/>
      <c r="O18" s="72"/>
      <c r="P18" s="30" t="s">
        <v>48</v>
      </c>
      <c r="Q18" s="30" t="s">
        <v>442</v>
      </c>
      <c r="R18" s="30">
        <v>80</v>
      </c>
      <c r="S18" s="30" t="s">
        <v>44</v>
      </c>
      <c r="T18" s="30" t="s">
        <v>44</v>
      </c>
      <c r="U18" s="32" t="str">
        <f t="shared" si="0"/>
        <v>N/A</v>
      </c>
    </row>
    <row r="19" spans="1:22" ht="75" customHeight="1" thickBot="1" x14ac:dyDescent="0.25">
      <c r="A19" s="25"/>
      <c r="B19" s="29" t="s">
        <v>45</v>
      </c>
      <c r="C19" s="72" t="s">
        <v>45</v>
      </c>
      <c r="D19" s="72"/>
      <c r="E19" s="72"/>
      <c r="F19" s="72"/>
      <c r="G19" s="72"/>
      <c r="H19" s="72"/>
      <c r="I19" s="72" t="s">
        <v>573</v>
      </c>
      <c r="J19" s="72"/>
      <c r="K19" s="72"/>
      <c r="L19" s="72" t="s">
        <v>574</v>
      </c>
      <c r="M19" s="72"/>
      <c r="N19" s="72"/>
      <c r="O19" s="72"/>
      <c r="P19" s="30" t="s">
        <v>48</v>
      </c>
      <c r="Q19" s="30" t="s">
        <v>258</v>
      </c>
      <c r="R19" s="30">
        <v>66</v>
      </c>
      <c r="S19" s="30" t="s">
        <v>44</v>
      </c>
      <c r="T19" s="30" t="s">
        <v>44</v>
      </c>
      <c r="U19" s="32" t="str">
        <f t="shared" si="0"/>
        <v>N/A</v>
      </c>
    </row>
    <row r="20" spans="1:22" ht="22.5" customHeight="1" thickTop="1" thickBot="1" x14ac:dyDescent="0.25">
      <c r="B20" s="8" t="s">
        <v>98</v>
      </c>
      <c r="C20" s="9"/>
      <c r="D20" s="9"/>
      <c r="E20" s="9"/>
      <c r="F20" s="9"/>
      <c r="G20" s="9"/>
      <c r="H20" s="10"/>
      <c r="I20" s="10"/>
      <c r="J20" s="10"/>
      <c r="K20" s="10"/>
      <c r="L20" s="10"/>
      <c r="M20" s="10"/>
      <c r="N20" s="10"/>
      <c r="O20" s="10"/>
      <c r="P20" s="10"/>
      <c r="Q20" s="10"/>
      <c r="R20" s="10"/>
      <c r="S20" s="10"/>
      <c r="T20" s="10"/>
      <c r="U20" s="11"/>
      <c r="V20" s="33"/>
    </row>
    <row r="21" spans="1:22" ht="26.25" customHeight="1" thickTop="1" x14ac:dyDescent="0.2">
      <c r="B21" s="34"/>
      <c r="C21" s="35"/>
      <c r="D21" s="35"/>
      <c r="E21" s="35"/>
      <c r="F21" s="35"/>
      <c r="G21" s="35"/>
      <c r="H21" s="36"/>
      <c r="I21" s="36"/>
      <c r="J21" s="36"/>
      <c r="K21" s="36"/>
      <c r="L21" s="36"/>
      <c r="M21" s="36"/>
      <c r="N21" s="36"/>
      <c r="O21" s="36"/>
      <c r="P21" s="37"/>
      <c r="Q21" s="38"/>
      <c r="R21" s="39" t="s">
        <v>99</v>
      </c>
      <c r="S21" s="22" t="s">
        <v>100</v>
      </c>
      <c r="T21" s="39" t="s">
        <v>101</v>
      </c>
      <c r="U21" s="22" t="s">
        <v>102</v>
      </c>
    </row>
    <row r="22" spans="1:22" ht="26.25" customHeight="1" thickBot="1" x14ac:dyDescent="0.25">
      <c r="B22" s="40"/>
      <c r="C22" s="41"/>
      <c r="D22" s="41"/>
      <c r="E22" s="41"/>
      <c r="F22" s="41"/>
      <c r="G22" s="41"/>
      <c r="H22" s="42"/>
      <c r="I22" s="42"/>
      <c r="J22" s="42"/>
      <c r="K22" s="42"/>
      <c r="L22" s="42"/>
      <c r="M22" s="42"/>
      <c r="N22" s="42"/>
      <c r="O22" s="42"/>
      <c r="P22" s="43"/>
      <c r="Q22" s="44"/>
      <c r="R22" s="45" t="s">
        <v>103</v>
      </c>
      <c r="S22" s="44" t="s">
        <v>103</v>
      </c>
      <c r="T22" s="44" t="s">
        <v>103</v>
      </c>
      <c r="U22" s="44" t="s">
        <v>104</v>
      </c>
    </row>
    <row r="23" spans="1:22" ht="13.5" customHeight="1" thickBot="1" x14ac:dyDescent="0.25">
      <c r="B23" s="65" t="s">
        <v>105</v>
      </c>
      <c r="C23" s="66"/>
      <c r="D23" s="66"/>
      <c r="E23" s="46"/>
      <c r="F23" s="46"/>
      <c r="G23" s="46"/>
      <c r="H23" s="47"/>
      <c r="I23" s="47"/>
      <c r="J23" s="47"/>
      <c r="K23" s="47"/>
      <c r="L23" s="47"/>
      <c r="M23" s="47"/>
      <c r="N23" s="47"/>
      <c r="O23" s="47"/>
      <c r="P23" s="48"/>
      <c r="Q23" s="48"/>
      <c r="R23" s="49">
        <f>3522.042129</f>
        <v>3522.0421289999999</v>
      </c>
      <c r="S23" s="49">
        <f>102.312115</f>
        <v>102.31211500000001</v>
      </c>
      <c r="T23" s="49">
        <f>831.69114335</f>
        <v>831.69114334999995</v>
      </c>
      <c r="U23" s="50">
        <f>+IF(ISERR(T23/S23*100),"N/A",T23/S23*100)</f>
        <v>812.89605180188073</v>
      </c>
    </row>
    <row r="24" spans="1:22" ht="13.5" customHeight="1" thickBot="1" x14ac:dyDescent="0.25">
      <c r="B24" s="67" t="s">
        <v>106</v>
      </c>
      <c r="C24" s="68"/>
      <c r="D24" s="68"/>
      <c r="E24" s="51"/>
      <c r="F24" s="51"/>
      <c r="G24" s="51"/>
      <c r="H24" s="52"/>
      <c r="I24" s="52"/>
      <c r="J24" s="52"/>
      <c r="K24" s="52"/>
      <c r="L24" s="52"/>
      <c r="M24" s="52"/>
      <c r="N24" s="52"/>
      <c r="O24" s="52"/>
      <c r="P24" s="53"/>
      <c r="Q24" s="53"/>
      <c r="R24" s="49">
        <f>6353.46231173</f>
        <v>6353.4623117299998</v>
      </c>
      <c r="S24" s="49">
        <f>862.66701483</f>
        <v>862.66701482999997</v>
      </c>
      <c r="T24" s="49">
        <f>831.69114335</f>
        <v>831.69114334999995</v>
      </c>
      <c r="U24" s="50">
        <f>+IF(ISERR(T24/S24*100),"N/A",T24/S24*100)</f>
        <v>96.409289917488707</v>
      </c>
    </row>
    <row r="25" spans="1:22" ht="14.85" customHeight="1" thickTop="1" thickBot="1" x14ac:dyDescent="0.25">
      <c r="B25" s="8" t="s">
        <v>107</v>
      </c>
      <c r="C25" s="9"/>
      <c r="D25" s="9"/>
      <c r="E25" s="9"/>
      <c r="F25" s="9"/>
      <c r="G25" s="9"/>
      <c r="H25" s="10"/>
      <c r="I25" s="10"/>
      <c r="J25" s="10"/>
      <c r="K25" s="10"/>
      <c r="L25" s="10"/>
      <c r="M25" s="10"/>
      <c r="N25" s="10"/>
      <c r="O25" s="10"/>
      <c r="P25" s="10"/>
      <c r="Q25" s="10"/>
      <c r="R25" s="10"/>
      <c r="S25" s="10"/>
      <c r="T25" s="10"/>
      <c r="U25" s="11"/>
    </row>
    <row r="26" spans="1:22" ht="44.25" customHeight="1" thickTop="1" x14ac:dyDescent="0.2">
      <c r="B26" s="69" t="s">
        <v>108</v>
      </c>
      <c r="C26" s="70"/>
      <c r="D26" s="70"/>
      <c r="E26" s="70"/>
      <c r="F26" s="70"/>
      <c r="G26" s="70"/>
      <c r="H26" s="70"/>
      <c r="I26" s="70"/>
      <c r="J26" s="70"/>
      <c r="K26" s="70"/>
      <c r="L26" s="70"/>
      <c r="M26" s="70"/>
      <c r="N26" s="70"/>
      <c r="O26" s="70"/>
      <c r="P26" s="70"/>
      <c r="Q26" s="70"/>
      <c r="R26" s="70"/>
      <c r="S26" s="70"/>
      <c r="T26" s="70"/>
      <c r="U26" s="71"/>
    </row>
    <row r="27" spans="1:22" ht="34.5" customHeight="1" x14ac:dyDescent="0.2">
      <c r="B27" s="59" t="s">
        <v>546</v>
      </c>
      <c r="C27" s="60"/>
      <c r="D27" s="60"/>
      <c r="E27" s="60"/>
      <c r="F27" s="60"/>
      <c r="G27" s="60"/>
      <c r="H27" s="60"/>
      <c r="I27" s="60"/>
      <c r="J27" s="60"/>
      <c r="K27" s="60"/>
      <c r="L27" s="60"/>
      <c r="M27" s="60"/>
      <c r="N27" s="60"/>
      <c r="O27" s="60"/>
      <c r="P27" s="60"/>
      <c r="Q27" s="60"/>
      <c r="R27" s="60"/>
      <c r="S27" s="60"/>
      <c r="T27" s="60"/>
      <c r="U27" s="61"/>
    </row>
    <row r="28" spans="1:22" ht="34.5" customHeight="1" x14ac:dyDescent="0.2">
      <c r="B28" s="59" t="s">
        <v>575</v>
      </c>
      <c r="C28" s="60"/>
      <c r="D28" s="60"/>
      <c r="E28" s="60"/>
      <c r="F28" s="60"/>
      <c r="G28" s="60"/>
      <c r="H28" s="60"/>
      <c r="I28" s="60"/>
      <c r="J28" s="60"/>
      <c r="K28" s="60"/>
      <c r="L28" s="60"/>
      <c r="M28" s="60"/>
      <c r="N28" s="60"/>
      <c r="O28" s="60"/>
      <c r="P28" s="60"/>
      <c r="Q28" s="60"/>
      <c r="R28" s="60"/>
      <c r="S28" s="60"/>
      <c r="T28" s="60"/>
      <c r="U28" s="61"/>
    </row>
    <row r="29" spans="1:22" ht="34.5" customHeight="1" x14ac:dyDescent="0.2">
      <c r="B29" s="59" t="s">
        <v>576</v>
      </c>
      <c r="C29" s="60"/>
      <c r="D29" s="60"/>
      <c r="E29" s="60"/>
      <c r="F29" s="60"/>
      <c r="G29" s="60"/>
      <c r="H29" s="60"/>
      <c r="I29" s="60"/>
      <c r="J29" s="60"/>
      <c r="K29" s="60"/>
      <c r="L29" s="60"/>
      <c r="M29" s="60"/>
      <c r="N29" s="60"/>
      <c r="O29" s="60"/>
      <c r="P29" s="60"/>
      <c r="Q29" s="60"/>
      <c r="R29" s="60"/>
      <c r="S29" s="60"/>
      <c r="T29" s="60"/>
      <c r="U29" s="61"/>
    </row>
    <row r="30" spans="1:22" ht="34.5" customHeight="1" x14ac:dyDescent="0.2">
      <c r="B30" s="59" t="s">
        <v>577</v>
      </c>
      <c r="C30" s="60"/>
      <c r="D30" s="60"/>
      <c r="E30" s="60"/>
      <c r="F30" s="60"/>
      <c r="G30" s="60"/>
      <c r="H30" s="60"/>
      <c r="I30" s="60"/>
      <c r="J30" s="60"/>
      <c r="K30" s="60"/>
      <c r="L30" s="60"/>
      <c r="M30" s="60"/>
      <c r="N30" s="60"/>
      <c r="O30" s="60"/>
      <c r="P30" s="60"/>
      <c r="Q30" s="60"/>
      <c r="R30" s="60"/>
      <c r="S30" s="60"/>
      <c r="T30" s="60"/>
      <c r="U30" s="61"/>
    </row>
    <row r="31" spans="1:22" ht="34.5" customHeight="1" x14ac:dyDescent="0.2">
      <c r="B31" s="59" t="s">
        <v>578</v>
      </c>
      <c r="C31" s="60"/>
      <c r="D31" s="60"/>
      <c r="E31" s="60"/>
      <c r="F31" s="60"/>
      <c r="G31" s="60"/>
      <c r="H31" s="60"/>
      <c r="I31" s="60"/>
      <c r="J31" s="60"/>
      <c r="K31" s="60"/>
      <c r="L31" s="60"/>
      <c r="M31" s="60"/>
      <c r="N31" s="60"/>
      <c r="O31" s="60"/>
      <c r="P31" s="60"/>
      <c r="Q31" s="60"/>
      <c r="R31" s="60"/>
      <c r="S31" s="60"/>
      <c r="T31" s="60"/>
      <c r="U31" s="61"/>
    </row>
    <row r="32" spans="1:22" ht="34.5" customHeight="1" x14ac:dyDescent="0.2">
      <c r="B32" s="59" t="s">
        <v>579</v>
      </c>
      <c r="C32" s="60"/>
      <c r="D32" s="60"/>
      <c r="E32" s="60"/>
      <c r="F32" s="60"/>
      <c r="G32" s="60"/>
      <c r="H32" s="60"/>
      <c r="I32" s="60"/>
      <c r="J32" s="60"/>
      <c r="K32" s="60"/>
      <c r="L32" s="60"/>
      <c r="M32" s="60"/>
      <c r="N32" s="60"/>
      <c r="O32" s="60"/>
      <c r="P32" s="60"/>
      <c r="Q32" s="60"/>
      <c r="R32" s="60"/>
      <c r="S32" s="60"/>
      <c r="T32" s="60"/>
      <c r="U32" s="61"/>
    </row>
    <row r="33" spans="2:21" ht="34.5" customHeight="1" x14ac:dyDescent="0.2">
      <c r="B33" s="59" t="s">
        <v>580</v>
      </c>
      <c r="C33" s="60"/>
      <c r="D33" s="60"/>
      <c r="E33" s="60"/>
      <c r="F33" s="60"/>
      <c r="G33" s="60"/>
      <c r="H33" s="60"/>
      <c r="I33" s="60"/>
      <c r="J33" s="60"/>
      <c r="K33" s="60"/>
      <c r="L33" s="60"/>
      <c r="M33" s="60"/>
      <c r="N33" s="60"/>
      <c r="O33" s="60"/>
      <c r="P33" s="60"/>
      <c r="Q33" s="60"/>
      <c r="R33" s="60"/>
      <c r="S33" s="60"/>
      <c r="T33" s="60"/>
      <c r="U33" s="61"/>
    </row>
    <row r="34" spans="2:21" ht="34.5" customHeight="1" x14ac:dyDescent="0.2">
      <c r="B34" s="59" t="s">
        <v>581</v>
      </c>
      <c r="C34" s="60"/>
      <c r="D34" s="60"/>
      <c r="E34" s="60"/>
      <c r="F34" s="60"/>
      <c r="G34" s="60"/>
      <c r="H34" s="60"/>
      <c r="I34" s="60"/>
      <c r="J34" s="60"/>
      <c r="K34" s="60"/>
      <c r="L34" s="60"/>
      <c r="M34" s="60"/>
      <c r="N34" s="60"/>
      <c r="O34" s="60"/>
      <c r="P34" s="60"/>
      <c r="Q34" s="60"/>
      <c r="R34" s="60"/>
      <c r="S34" s="60"/>
      <c r="T34" s="60"/>
      <c r="U34" s="61"/>
    </row>
    <row r="35" spans="2:21" ht="34.5" customHeight="1" thickBot="1" x14ac:dyDescent="0.25">
      <c r="B35" s="62" t="s">
        <v>582</v>
      </c>
      <c r="C35" s="63"/>
      <c r="D35" s="63"/>
      <c r="E35" s="63"/>
      <c r="F35" s="63"/>
      <c r="G35" s="63"/>
      <c r="H35" s="63"/>
      <c r="I35" s="63"/>
      <c r="J35" s="63"/>
      <c r="K35" s="63"/>
      <c r="L35" s="63"/>
      <c r="M35" s="63"/>
      <c r="N35" s="63"/>
      <c r="O35" s="63"/>
      <c r="P35" s="63"/>
      <c r="Q35" s="63"/>
      <c r="R35" s="63"/>
      <c r="S35" s="63"/>
      <c r="T35" s="63"/>
      <c r="U35" s="64"/>
    </row>
  </sheetData>
  <mergeCells count="6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B35:U35"/>
    <mergeCell ref="B23:D23"/>
    <mergeCell ref="B24:D24"/>
    <mergeCell ref="B26:U26"/>
    <mergeCell ref="B27:U27"/>
    <mergeCell ref="B28:U28"/>
    <mergeCell ref="B29:U29"/>
    <mergeCell ref="B30:U30"/>
    <mergeCell ref="B31:U31"/>
    <mergeCell ref="B32:U32"/>
    <mergeCell ref="B33:U33"/>
    <mergeCell ref="B34:U34"/>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7</v>
      </c>
      <c r="D4" s="99" t="s">
        <v>8</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23</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39</v>
      </c>
      <c r="D11" s="73"/>
      <c r="E11" s="73"/>
      <c r="F11" s="73"/>
      <c r="G11" s="73"/>
      <c r="H11" s="73"/>
      <c r="I11" s="73" t="s">
        <v>40</v>
      </c>
      <c r="J11" s="73"/>
      <c r="K11" s="73"/>
      <c r="L11" s="73" t="s">
        <v>41</v>
      </c>
      <c r="M11" s="73"/>
      <c r="N11" s="73"/>
      <c r="O11" s="73"/>
      <c r="P11" s="27" t="s">
        <v>42</v>
      </c>
      <c r="Q11" s="27" t="s">
        <v>43</v>
      </c>
      <c r="R11" s="27">
        <v>5</v>
      </c>
      <c r="S11" s="27" t="s">
        <v>44</v>
      </c>
      <c r="T11" s="27" t="s">
        <v>44</v>
      </c>
      <c r="U11" s="28" t="str">
        <f>IF(ISERR((S11-T11)*100/S11+100),"N/A",(S11-T11)*100/S11+100)</f>
        <v>N/A</v>
      </c>
    </row>
    <row r="12" spans="1:34" ht="75" customHeight="1" x14ac:dyDescent="0.2">
      <c r="A12" s="25"/>
      <c r="B12" s="29" t="s">
        <v>45</v>
      </c>
      <c r="C12" s="72" t="s">
        <v>45</v>
      </c>
      <c r="D12" s="72"/>
      <c r="E12" s="72"/>
      <c r="F12" s="72"/>
      <c r="G12" s="72"/>
      <c r="H12" s="72"/>
      <c r="I12" s="72" t="s">
        <v>46</v>
      </c>
      <c r="J12" s="72"/>
      <c r="K12" s="72"/>
      <c r="L12" s="72" t="s">
        <v>47</v>
      </c>
      <c r="M12" s="72"/>
      <c r="N12" s="72"/>
      <c r="O12" s="72"/>
      <c r="P12" s="30" t="s">
        <v>48</v>
      </c>
      <c r="Q12" s="30" t="s">
        <v>49</v>
      </c>
      <c r="R12" s="31">
        <v>12</v>
      </c>
      <c r="S12" s="31" t="s">
        <v>44</v>
      </c>
      <c r="T12" s="31" t="s">
        <v>44</v>
      </c>
      <c r="U12" s="32" t="str">
        <f>IF(ISERR((S12-T12)*100/S12+100),"N/A",(S12-T12)*100/S12+100)</f>
        <v>N/A</v>
      </c>
    </row>
    <row r="13" spans="1:34" ht="75" customHeight="1" x14ac:dyDescent="0.2">
      <c r="A13" s="25"/>
      <c r="B13" s="29" t="s">
        <v>45</v>
      </c>
      <c r="C13" s="72" t="s">
        <v>45</v>
      </c>
      <c r="D13" s="72"/>
      <c r="E13" s="72"/>
      <c r="F13" s="72"/>
      <c r="G13" s="72"/>
      <c r="H13" s="72"/>
      <c r="I13" s="72" t="s">
        <v>50</v>
      </c>
      <c r="J13" s="72"/>
      <c r="K13" s="72"/>
      <c r="L13" s="72" t="s">
        <v>51</v>
      </c>
      <c r="M13" s="72"/>
      <c r="N13" s="72"/>
      <c r="O13" s="72"/>
      <c r="P13" s="30" t="s">
        <v>42</v>
      </c>
      <c r="Q13" s="30" t="s">
        <v>43</v>
      </c>
      <c r="R13" s="30">
        <v>9.5</v>
      </c>
      <c r="S13" s="30" t="s">
        <v>44</v>
      </c>
      <c r="T13" s="30" t="s">
        <v>44</v>
      </c>
      <c r="U13" s="32" t="str">
        <f>IF(ISERR((S13-T13)*100/S13+100),"N/A",(S13-T13)*100/S13+100)</f>
        <v>N/A</v>
      </c>
    </row>
    <row r="14" spans="1:34" ht="75" customHeight="1" x14ac:dyDescent="0.2">
      <c r="A14" s="25"/>
      <c r="B14" s="29" t="s">
        <v>45</v>
      </c>
      <c r="C14" s="72" t="s">
        <v>45</v>
      </c>
      <c r="D14" s="72"/>
      <c r="E14" s="72"/>
      <c r="F14" s="72"/>
      <c r="G14" s="72"/>
      <c r="H14" s="72"/>
      <c r="I14" s="72" t="s">
        <v>52</v>
      </c>
      <c r="J14" s="72"/>
      <c r="K14" s="72"/>
      <c r="L14" s="72" t="s">
        <v>53</v>
      </c>
      <c r="M14" s="72"/>
      <c r="N14" s="72"/>
      <c r="O14" s="72"/>
      <c r="P14" s="30" t="s">
        <v>48</v>
      </c>
      <c r="Q14" s="30" t="s">
        <v>43</v>
      </c>
      <c r="R14" s="31">
        <v>84.6</v>
      </c>
      <c r="S14" s="31" t="s">
        <v>44</v>
      </c>
      <c r="T14" s="31" t="s">
        <v>44</v>
      </c>
      <c r="U14" s="32" t="str">
        <f>IF(ISERR(T14/S14*100),"N/A",T14/S14*100)</f>
        <v>N/A</v>
      </c>
    </row>
    <row r="15" spans="1:34" ht="75" customHeight="1" x14ac:dyDescent="0.2">
      <c r="A15" s="25"/>
      <c r="B15" s="29" t="s">
        <v>45</v>
      </c>
      <c r="C15" s="72" t="s">
        <v>45</v>
      </c>
      <c r="D15" s="72"/>
      <c r="E15" s="72"/>
      <c r="F15" s="72"/>
      <c r="G15" s="72"/>
      <c r="H15" s="72"/>
      <c r="I15" s="72" t="s">
        <v>54</v>
      </c>
      <c r="J15" s="72"/>
      <c r="K15" s="72"/>
      <c r="L15" s="72" t="s">
        <v>55</v>
      </c>
      <c r="M15" s="72"/>
      <c r="N15" s="72"/>
      <c r="O15" s="72"/>
      <c r="P15" s="30" t="s">
        <v>42</v>
      </c>
      <c r="Q15" s="30" t="s">
        <v>43</v>
      </c>
      <c r="R15" s="30">
        <v>0.85</v>
      </c>
      <c r="S15" s="30" t="s">
        <v>44</v>
      </c>
      <c r="T15" s="30" t="s">
        <v>44</v>
      </c>
      <c r="U15" s="32" t="str">
        <f>IF(ISERR((S15-T15)*100/S15+100),"N/A",(S15-T15)*100/S15+100)</f>
        <v>N/A</v>
      </c>
    </row>
    <row r="16" spans="1:34" ht="75" customHeight="1" x14ac:dyDescent="0.2">
      <c r="A16" s="25"/>
      <c r="B16" s="29" t="s">
        <v>45</v>
      </c>
      <c r="C16" s="72" t="s">
        <v>45</v>
      </c>
      <c r="D16" s="72"/>
      <c r="E16" s="72"/>
      <c r="F16" s="72"/>
      <c r="G16" s="72"/>
      <c r="H16" s="72"/>
      <c r="I16" s="72" t="s">
        <v>56</v>
      </c>
      <c r="J16" s="72"/>
      <c r="K16" s="72"/>
      <c r="L16" s="72" t="s">
        <v>57</v>
      </c>
      <c r="M16" s="72"/>
      <c r="N16" s="72"/>
      <c r="O16" s="72"/>
      <c r="P16" s="30" t="s">
        <v>58</v>
      </c>
      <c r="Q16" s="30" t="s">
        <v>43</v>
      </c>
      <c r="R16" s="31">
        <v>78.19</v>
      </c>
      <c r="S16" s="31" t="s">
        <v>44</v>
      </c>
      <c r="T16" s="31" t="s">
        <v>44</v>
      </c>
      <c r="U16" s="32" t="str">
        <f>IF(ISERR(T16/S16*100),"N/A",T16/S16*100)</f>
        <v>N/A</v>
      </c>
    </row>
    <row r="17" spans="1:22" ht="75" customHeight="1" thickBot="1" x14ac:dyDescent="0.25">
      <c r="A17" s="25"/>
      <c r="B17" s="29" t="s">
        <v>45</v>
      </c>
      <c r="C17" s="72" t="s">
        <v>45</v>
      </c>
      <c r="D17" s="72"/>
      <c r="E17" s="72"/>
      <c r="F17" s="72"/>
      <c r="G17" s="72"/>
      <c r="H17" s="72"/>
      <c r="I17" s="72" t="s">
        <v>59</v>
      </c>
      <c r="J17" s="72"/>
      <c r="K17" s="72"/>
      <c r="L17" s="72" t="s">
        <v>60</v>
      </c>
      <c r="M17" s="72"/>
      <c r="N17" s="72"/>
      <c r="O17" s="72"/>
      <c r="P17" s="30" t="s">
        <v>48</v>
      </c>
      <c r="Q17" s="30" t="s">
        <v>61</v>
      </c>
      <c r="R17" s="31">
        <v>90</v>
      </c>
      <c r="S17" s="31" t="s">
        <v>44</v>
      </c>
      <c r="T17" s="31" t="s">
        <v>44</v>
      </c>
      <c r="U17" s="32" t="str">
        <f>IF(ISERR(T17/S17*100),"N/A",T17/S17*100)</f>
        <v>N/A</v>
      </c>
    </row>
    <row r="18" spans="1:22" ht="75" customHeight="1" thickTop="1" x14ac:dyDescent="0.2">
      <c r="A18" s="25"/>
      <c r="B18" s="26" t="s">
        <v>62</v>
      </c>
      <c r="C18" s="73" t="s">
        <v>63</v>
      </c>
      <c r="D18" s="73"/>
      <c r="E18" s="73"/>
      <c r="F18" s="73"/>
      <c r="G18" s="73"/>
      <c r="H18" s="73"/>
      <c r="I18" s="73" t="s">
        <v>64</v>
      </c>
      <c r="J18" s="73"/>
      <c r="K18" s="73"/>
      <c r="L18" s="73" t="s">
        <v>65</v>
      </c>
      <c r="M18" s="73"/>
      <c r="N18" s="73"/>
      <c r="O18" s="73"/>
      <c r="P18" s="27" t="s">
        <v>48</v>
      </c>
      <c r="Q18" s="27" t="s">
        <v>43</v>
      </c>
      <c r="R18" s="27">
        <v>12</v>
      </c>
      <c r="S18" s="27" t="s">
        <v>44</v>
      </c>
      <c r="T18" s="27" t="s">
        <v>44</v>
      </c>
      <c r="U18" s="28" t="str">
        <f>IF(ISERR((S18-T18)*100/S18+100),"N/A",(S18-T18)*100/S18+100)</f>
        <v>N/A</v>
      </c>
    </row>
    <row r="19" spans="1:22" ht="75" customHeight="1" x14ac:dyDescent="0.2">
      <c r="A19" s="25"/>
      <c r="B19" s="29" t="s">
        <v>45</v>
      </c>
      <c r="C19" s="72" t="s">
        <v>45</v>
      </c>
      <c r="D19" s="72"/>
      <c r="E19" s="72"/>
      <c r="F19" s="72"/>
      <c r="G19" s="72"/>
      <c r="H19" s="72"/>
      <c r="I19" s="72" t="s">
        <v>66</v>
      </c>
      <c r="J19" s="72"/>
      <c r="K19" s="72"/>
      <c r="L19" s="72" t="s">
        <v>67</v>
      </c>
      <c r="M19" s="72"/>
      <c r="N19" s="72"/>
      <c r="O19" s="72"/>
      <c r="P19" s="30" t="s">
        <v>48</v>
      </c>
      <c r="Q19" s="30" t="s">
        <v>43</v>
      </c>
      <c r="R19" s="30">
        <v>66.5</v>
      </c>
      <c r="S19" s="30" t="s">
        <v>44</v>
      </c>
      <c r="T19" s="30" t="s">
        <v>44</v>
      </c>
      <c r="U19" s="32" t="str">
        <f>IF(ISERR(T19/S19*100),"N/A",T19/S19*100)</f>
        <v>N/A</v>
      </c>
    </row>
    <row r="20" spans="1:22" ht="75" customHeight="1" thickBot="1" x14ac:dyDescent="0.25">
      <c r="A20" s="25"/>
      <c r="B20" s="29" t="s">
        <v>45</v>
      </c>
      <c r="C20" s="72" t="s">
        <v>45</v>
      </c>
      <c r="D20" s="72"/>
      <c r="E20" s="72"/>
      <c r="F20" s="72"/>
      <c r="G20" s="72"/>
      <c r="H20" s="72"/>
      <c r="I20" s="72" t="s">
        <v>68</v>
      </c>
      <c r="J20" s="72"/>
      <c r="K20" s="72"/>
      <c r="L20" s="72" t="s">
        <v>69</v>
      </c>
      <c r="M20" s="72"/>
      <c r="N20" s="72"/>
      <c r="O20" s="72"/>
      <c r="P20" s="30" t="s">
        <v>70</v>
      </c>
      <c r="Q20" s="30" t="s">
        <v>43</v>
      </c>
      <c r="R20" s="30">
        <v>10.07</v>
      </c>
      <c r="S20" s="30" t="s">
        <v>44</v>
      </c>
      <c r="T20" s="30" t="s">
        <v>44</v>
      </c>
      <c r="U20" s="32" t="str">
        <f>IF(ISERR((S20-T20)*100/S20+100),"N/A",(S20-T20)*100/S20+100)</f>
        <v>N/A</v>
      </c>
    </row>
    <row r="21" spans="1:22" ht="75" customHeight="1" thickTop="1" x14ac:dyDescent="0.2">
      <c r="A21" s="25"/>
      <c r="B21" s="26" t="s">
        <v>71</v>
      </c>
      <c r="C21" s="73" t="s">
        <v>72</v>
      </c>
      <c r="D21" s="73"/>
      <c r="E21" s="73"/>
      <c r="F21" s="73"/>
      <c r="G21" s="73"/>
      <c r="H21" s="73"/>
      <c r="I21" s="73" t="s">
        <v>73</v>
      </c>
      <c r="J21" s="73"/>
      <c r="K21" s="73"/>
      <c r="L21" s="73" t="s">
        <v>74</v>
      </c>
      <c r="M21" s="73"/>
      <c r="N21" s="73"/>
      <c r="O21" s="73"/>
      <c r="P21" s="27" t="s">
        <v>48</v>
      </c>
      <c r="Q21" s="27" t="s">
        <v>75</v>
      </c>
      <c r="R21" s="27">
        <v>30</v>
      </c>
      <c r="S21" s="27" t="s">
        <v>44</v>
      </c>
      <c r="T21" s="27" t="s">
        <v>44</v>
      </c>
      <c r="U21" s="28" t="str">
        <f t="shared" ref="U21:U29" si="0">IF(ISERR(T21/S21*100),"N/A",T21/S21*100)</f>
        <v>N/A</v>
      </c>
    </row>
    <row r="22" spans="1:22" ht="75" customHeight="1" x14ac:dyDescent="0.2">
      <c r="A22" s="25"/>
      <c r="B22" s="29" t="s">
        <v>45</v>
      </c>
      <c r="C22" s="72" t="s">
        <v>45</v>
      </c>
      <c r="D22" s="72"/>
      <c r="E22" s="72"/>
      <c r="F22" s="72"/>
      <c r="G22" s="72"/>
      <c r="H22" s="72"/>
      <c r="I22" s="72" t="s">
        <v>76</v>
      </c>
      <c r="J22" s="72"/>
      <c r="K22" s="72"/>
      <c r="L22" s="72" t="s">
        <v>77</v>
      </c>
      <c r="M22" s="72"/>
      <c r="N22" s="72"/>
      <c r="O22" s="72"/>
      <c r="P22" s="30" t="s">
        <v>48</v>
      </c>
      <c r="Q22" s="30" t="s">
        <v>75</v>
      </c>
      <c r="R22" s="30">
        <v>33</v>
      </c>
      <c r="S22" s="30" t="s">
        <v>44</v>
      </c>
      <c r="T22" s="30" t="s">
        <v>44</v>
      </c>
      <c r="U22" s="32" t="str">
        <f t="shared" si="0"/>
        <v>N/A</v>
      </c>
    </row>
    <row r="23" spans="1:22" ht="75" customHeight="1" x14ac:dyDescent="0.2">
      <c r="A23" s="25"/>
      <c r="B23" s="29" t="s">
        <v>45</v>
      </c>
      <c r="C23" s="72" t="s">
        <v>45</v>
      </c>
      <c r="D23" s="72"/>
      <c r="E23" s="72"/>
      <c r="F23" s="72"/>
      <c r="G23" s="72"/>
      <c r="H23" s="72"/>
      <c r="I23" s="72" t="s">
        <v>78</v>
      </c>
      <c r="J23" s="72"/>
      <c r="K23" s="72"/>
      <c r="L23" s="72" t="s">
        <v>79</v>
      </c>
      <c r="M23" s="72"/>
      <c r="N23" s="72"/>
      <c r="O23" s="72"/>
      <c r="P23" s="30" t="s">
        <v>48</v>
      </c>
      <c r="Q23" s="30" t="s">
        <v>75</v>
      </c>
      <c r="R23" s="30">
        <v>95</v>
      </c>
      <c r="S23" s="30" t="s">
        <v>44</v>
      </c>
      <c r="T23" s="30" t="s">
        <v>44</v>
      </c>
      <c r="U23" s="32" t="str">
        <f t="shared" si="0"/>
        <v>N/A</v>
      </c>
    </row>
    <row r="24" spans="1:22" ht="75" customHeight="1" x14ac:dyDescent="0.2">
      <c r="A24" s="25"/>
      <c r="B24" s="29" t="s">
        <v>45</v>
      </c>
      <c r="C24" s="72" t="s">
        <v>45</v>
      </c>
      <c r="D24" s="72"/>
      <c r="E24" s="72"/>
      <c r="F24" s="72"/>
      <c r="G24" s="72"/>
      <c r="H24" s="72"/>
      <c r="I24" s="72" t="s">
        <v>80</v>
      </c>
      <c r="J24" s="72"/>
      <c r="K24" s="72"/>
      <c r="L24" s="72" t="s">
        <v>81</v>
      </c>
      <c r="M24" s="72"/>
      <c r="N24" s="72"/>
      <c r="O24" s="72"/>
      <c r="P24" s="30" t="s">
        <v>48</v>
      </c>
      <c r="Q24" s="30" t="s">
        <v>75</v>
      </c>
      <c r="R24" s="30">
        <v>20</v>
      </c>
      <c r="S24" s="30" t="s">
        <v>44</v>
      </c>
      <c r="T24" s="30" t="s">
        <v>44</v>
      </c>
      <c r="U24" s="32" t="str">
        <f t="shared" si="0"/>
        <v>N/A</v>
      </c>
    </row>
    <row r="25" spans="1:22" ht="75" customHeight="1" x14ac:dyDescent="0.2">
      <c r="A25" s="25"/>
      <c r="B25" s="29" t="s">
        <v>45</v>
      </c>
      <c r="C25" s="72" t="s">
        <v>45</v>
      </c>
      <c r="D25" s="72"/>
      <c r="E25" s="72"/>
      <c r="F25" s="72"/>
      <c r="G25" s="72"/>
      <c r="H25" s="72"/>
      <c r="I25" s="72" t="s">
        <v>82</v>
      </c>
      <c r="J25" s="72"/>
      <c r="K25" s="72"/>
      <c r="L25" s="72" t="s">
        <v>83</v>
      </c>
      <c r="M25" s="72"/>
      <c r="N25" s="72"/>
      <c r="O25" s="72"/>
      <c r="P25" s="30" t="s">
        <v>48</v>
      </c>
      <c r="Q25" s="30" t="s">
        <v>75</v>
      </c>
      <c r="R25" s="30">
        <v>65</v>
      </c>
      <c r="S25" s="30" t="s">
        <v>44</v>
      </c>
      <c r="T25" s="30" t="s">
        <v>44</v>
      </c>
      <c r="U25" s="32" t="str">
        <f t="shared" si="0"/>
        <v>N/A</v>
      </c>
    </row>
    <row r="26" spans="1:22" ht="75" customHeight="1" thickBot="1" x14ac:dyDescent="0.25">
      <c r="A26" s="25"/>
      <c r="B26" s="29" t="s">
        <v>45</v>
      </c>
      <c r="C26" s="72" t="s">
        <v>84</v>
      </c>
      <c r="D26" s="72"/>
      <c r="E26" s="72"/>
      <c r="F26" s="72"/>
      <c r="G26" s="72"/>
      <c r="H26" s="72"/>
      <c r="I26" s="72" t="s">
        <v>85</v>
      </c>
      <c r="J26" s="72"/>
      <c r="K26" s="72"/>
      <c r="L26" s="72" t="s">
        <v>86</v>
      </c>
      <c r="M26" s="72"/>
      <c r="N26" s="72"/>
      <c r="O26" s="72"/>
      <c r="P26" s="30" t="s">
        <v>48</v>
      </c>
      <c r="Q26" s="30" t="s">
        <v>75</v>
      </c>
      <c r="R26" s="30">
        <v>95</v>
      </c>
      <c r="S26" s="30" t="s">
        <v>44</v>
      </c>
      <c r="T26" s="30" t="s">
        <v>44</v>
      </c>
      <c r="U26" s="32" t="str">
        <f t="shared" si="0"/>
        <v>N/A</v>
      </c>
    </row>
    <row r="27" spans="1:22" ht="75" customHeight="1" thickTop="1" x14ac:dyDescent="0.2">
      <c r="A27" s="25"/>
      <c r="B27" s="26" t="s">
        <v>87</v>
      </c>
      <c r="C27" s="73" t="s">
        <v>88</v>
      </c>
      <c r="D27" s="73"/>
      <c r="E27" s="73"/>
      <c r="F27" s="73"/>
      <c r="G27" s="73"/>
      <c r="H27" s="73"/>
      <c r="I27" s="73" t="s">
        <v>89</v>
      </c>
      <c r="J27" s="73"/>
      <c r="K27" s="73"/>
      <c r="L27" s="73" t="s">
        <v>90</v>
      </c>
      <c r="M27" s="73"/>
      <c r="N27" s="73"/>
      <c r="O27" s="73"/>
      <c r="P27" s="27" t="s">
        <v>48</v>
      </c>
      <c r="Q27" s="27" t="s">
        <v>91</v>
      </c>
      <c r="R27" s="27">
        <v>99.7</v>
      </c>
      <c r="S27" s="27">
        <v>99.9</v>
      </c>
      <c r="T27" s="27">
        <v>106.1</v>
      </c>
      <c r="U27" s="28">
        <f t="shared" si="0"/>
        <v>106.2062062062062</v>
      </c>
    </row>
    <row r="28" spans="1:22" ht="75" customHeight="1" x14ac:dyDescent="0.2">
      <c r="A28" s="25"/>
      <c r="B28" s="29" t="s">
        <v>45</v>
      </c>
      <c r="C28" s="72" t="s">
        <v>92</v>
      </c>
      <c r="D28" s="72"/>
      <c r="E28" s="72"/>
      <c r="F28" s="72"/>
      <c r="G28" s="72"/>
      <c r="H28" s="72"/>
      <c r="I28" s="72" t="s">
        <v>93</v>
      </c>
      <c r="J28" s="72"/>
      <c r="K28" s="72"/>
      <c r="L28" s="72" t="s">
        <v>94</v>
      </c>
      <c r="M28" s="72"/>
      <c r="N28" s="72"/>
      <c r="O28" s="72"/>
      <c r="P28" s="30" t="s">
        <v>48</v>
      </c>
      <c r="Q28" s="30" t="s">
        <v>91</v>
      </c>
      <c r="R28" s="30">
        <v>64</v>
      </c>
      <c r="S28" s="30">
        <v>30</v>
      </c>
      <c r="T28" s="30">
        <v>29.72</v>
      </c>
      <c r="U28" s="32">
        <f t="shared" si="0"/>
        <v>99.066666666666663</v>
      </c>
    </row>
    <row r="29" spans="1:22" ht="75" customHeight="1" thickBot="1" x14ac:dyDescent="0.25">
      <c r="A29" s="25"/>
      <c r="B29" s="29" t="s">
        <v>45</v>
      </c>
      <c r="C29" s="72" t="s">
        <v>95</v>
      </c>
      <c r="D29" s="72"/>
      <c r="E29" s="72"/>
      <c r="F29" s="72"/>
      <c r="G29" s="72"/>
      <c r="H29" s="72"/>
      <c r="I29" s="72" t="s">
        <v>96</v>
      </c>
      <c r="J29" s="72"/>
      <c r="K29" s="72"/>
      <c r="L29" s="72" t="s">
        <v>97</v>
      </c>
      <c r="M29" s="72"/>
      <c r="N29" s="72"/>
      <c r="O29" s="72"/>
      <c r="P29" s="30" t="s">
        <v>48</v>
      </c>
      <c r="Q29" s="30" t="s">
        <v>91</v>
      </c>
      <c r="R29" s="30">
        <v>95</v>
      </c>
      <c r="S29" s="30">
        <v>95</v>
      </c>
      <c r="T29" s="30">
        <v>94.9</v>
      </c>
      <c r="U29" s="32">
        <f t="shared" si="0"/>
        <v>99.894736842105274</v>
      </c>
    </row>
    <row r="30" spans="1:22" ht="22.5" customHeight="1" thickTop="1" thickBot="1" x14ac:dyDescent="0.25">
      <c r="B30" s="8" t="s">
        <v>98</v>
      </c>
      <c r="C30" s="9"/>
      <c r="D30" s="9"/>
      <c r="E30" s="9"/>
      <c r="F30" s="9"/>
      <c r="G30" s="9"/>
      <c r="H30" s="10"/>
      <c r="I30" s="10"/>
      <c r="J30" s="10"/>
      <c r="K30" s="10"/>
      <c r="L30" s="10"/>
      <c r="M30" s="10"/>
      <c r="N30" s="10"/>
      <c r="O30" s="10"/>
      <c r="P30" s="10"/>
      <c r="Q30" s="10"/>
      <c r="R30" s="10"/>
      <c r="S30" s="10"/>
      <c r="T30" s="10"/>
      <c r="U30" s="11"/>
      <c r="V30" s="33"/>
    </row>
    <row r="31" spans="1:22" ht="26.25" customHeight="1" thickTop="1" x14ac:dyDescent="0.2">
      <c r="B31" s="34"/>
      <c r="C31" s="35"/>
      <c r="D31" s="35"/>
      <c r="E31" s="35"/>
      <c r="F31" s="35"/>
      <c r="G31" s="35"/>
      <c r="H31" s="36"/>
      <c r="I31" s="36"/>
      <c r="J31" s="36"/>
      <c r="K31" s="36"/>
      <c r="L31" s="36"/>
      <c r="M31" s="36"/>
      <c r="N31" s="36"/>
      <c r="O31" s="36"/>
      <c r="P31" s="37"/>
      <c r="Q31" s="38"/>
      <c r="R31" s="39" t="s">
        <v>99</v>
      </c>
      <c r="S31" s="22" t="s">
        <v>100</v>
      </c>
      <c r="T31" s="39" t="s">
        <v>101</v>
      </c>
      <c r="U31" s="22" t="s">
        <v>102</v>
      </c>
    </row>
    <row r="32" spans="1:22" ht="26.25" customHeight="1" thickBot="1" x14ac:dyDescent="0.25">
      <c r="B32" s="40"/>
      <c r="C32" s="41"/>
      <c r="D32" s="41"/>
      <c r="E32" s="41"/>
      <c r="F32" s="41"/>
      <c r="G32" s="41"/>
      <c r="H32" s="42"/>
      <c r="I32" s="42"/>
      <c r="J32" s="42"/>
      <c r="K32" s="42"/>
      <c r="L32" s="42"/>
      <c r="M32" s="42"/>
      <c r="N32" s="42"/>
      <c r="O32" s="42"/>
      <c r="P32" s="43"/>
      <c r="Q32" s="44"/>
      <c r="R32" s="45" t="s">
        <v>103</v>
      </c>
      <c r="S32" s="44" t="s">
        <v>103</v>
      </c>
      <c r="T32" s="44" t="s">
        <v>103</v>
      </c>
      <c r="U32" s="44" t="s">
        <v>104</v>
      </c>
    </row>
    <row r="33" spans="2:21" ht="13.5" customHeight="1" thickBot="1" x14ac:dyDescent="0.25">
      <c r="B33" s="65" t="s">
        <v>105</v>
      </c>
      <c r="C33" s="66"/>
      <c r="D33" s="66"/>
      <c r="E33" s="46"/>
      <c r="F33" s="46"/>
      <c r="G33" s="46"/>
      <c r="H33" s="47"/>
      <c r="I33" s="47"/>
      <c r="J33" s="47"/>
      <c r="K33" s="47"/>
      <c r="L33" s="47"/>
      <c r="M33" s="47"/>
      <c r="N33" s="47"/>
      <c r="O33" s="47"/>
      <c r="P33" s="48"/>
      <c r="Q33" s="48"/>
      <c r="R33" s="49">
        <f>6260.142448</f>
        <v>6260.1424479999996</v>
      </c>
      <c r="S33" s="49">
        <f>3550.644393</f>
        <v>3550.644393</v>
      </c>
      <c r="T33" s="49">
        <f>3360.36596098999</f>
        <v>3360.3659609899901</v>
      </c>
      <c r="U33" s="50">
        <f>+IF(ISERR(T33/S33*100),"N/A",T33/S33*100)</f>
        <v>94.641016926810835</v>
      </c>
    </row>
    <row r="34" spans="2:21" ht="13.5" customHeight="1" thickBot="1" x14ac:dyDescent="0.25">
      <c r="B34" s="67" t="s">
        <v>106</v>
      </c>
      <c r="C34" s="68"/>
      <c r="D34" s="68"/>
      <c r="E34" s="51"/>
      <c r="F34" s="51"/>
      <c r="G34" s="51"/>
      <c r="H34" s="52"/>
      <c r="I34" s="52"/>
      <c r="J34" s="52"/>
      <c r="K34" s="52"/>
      <c r="L34" s="52"/>
      <c r="M34" s="52"/>
      <c r="N34" s="52"/>
      <c r="O34" s="52"/>
      <c r="P34" s="53"/>
      <c r="Q34" s="53"/>
      <c r="R34" s="49">
        <f>6103.399871</f>
        <v>6103.3998709999996</v>
      </c>
      <c r="S34" s="49">
        <f>4182.127908</f>
        <v>4182.1279080000004</v>
      </c>
      <c r="T34" s="49">
        <f>3360.36596098999</f>
        <v>3360.3659609899901</v>
      </c>
      <c r="U34" s="50">
        <f>+IF(ISERR(T34/S34*100),"N/A",T34/S34*100)</f>
        <v>80.350626162388281</v>
      </c>
    </row>
    <row r="35" spans="2:21" ht="14.85" customHeight="1" thickTop="1" thickBot="1" x14ac:dyDescent="0.25">
      <c r="B35" s="8" t="s">
        <v>107</v>
      </c>
      <c r="C35" s="9"/>
      <c r="D35" s="9"/>
      <c r="E35" s="9"/>
      <c r="F35" s="9"/>
      <c r="G35" s="9"/>
      <c r="H35" s="10"/>
      <c r="I35" s="10"/>
      <c r="J35" s="10"/>
      <c r="K35" s="10"/>
      <c r="L35" s="10"/>
      <c r="M35" s="10"/>
      <c r="N35" s="10"/>
      <c r="O35" s="10"/>
      <c r="P35" s="10"/>
      <c r="Q35" s="10"/>
      <c r="R35" s="10"/>
      <c r="S35" s="10"/>
      <c r="T35" s="10"/>
      <c r="U35" s="11"/>
    </row>
    <row r="36" spans="2:21" ht="44.25" customHeight="1" thickTop="1" x14ac:dyDescent="0.2">
      <c r="B36" s="69" t="s">
        <v>108</v>
      </c>
      <c r="C36" s="70"/>
      <c r="D36" s="70"/>
      <c r="E36" s="70"/>
      <c r="F36" s="70"/>
      <c r="G36" s="70"/>
      <c r="H36" s="70"/>
      <c r="I36" s="70"/>
      <c r="J36" s="70"/>
      <c r="K36" s="70"/>
      <c r="L36" s="70"/>
      <c r="M36" s="70"/>
      <c r="N36" s="70"/>
      <c r="O36" s="70"/>
      <c r="P36" s="70"/>
      <c r="Q36" s="70"/>
      <c r="R36" s="70"/>
      <c r="S36" s="70"/>
      <c r="T36" s="70"/>
      <c r="U36" s="71"/>
    </row>
    <row r="37" spans="2:21" ht="34.5" customHeight="1" x14ac:dyDescent="0.2">
      <c r="B37" s="59" t="s">
        <v>109</v>
      </c>
      <c r="C37" s="60"/>
      <c r="D37" s="60"/>
      <c r="E37" s="60"/>
      <c r="F37" s="60"/>
      <c r="G37" s="60"/>
      <c r="H37" s="60"/>
      <c r="I37" s="60"/>
      <c r="J37" s="60"/>
      <c r="K37" s="60"/>
      <c r="L37" s="60"/>
      <c r="M37" s="60"/>
      <c r="N37" s="60"/>
      <c r="O37" s="60"/>
      <c r="P37" s="60"/>
      <c r="Q37" s="60"/>
      <c r="R37" s="60"/>
      <c r="S37" s="60"/>
      <c r="T37" s="60"/>
      <c r="U37" s="61"/>
    </row>
    <row r="38" spans="2:21" ht="34.5" customHeight="1" x14ac:dyDescent="0.2">
      <c r="B38" s="59" t="s">
        <v>110</v>
      </c>
      <c r="C38" s="60"/>
      <c r="D38" s="60"/>
      <c r="E38" s="60"/>
      <c r="F38" s="60"/>
      <c r="G38" s="60"/>
      <c r="H38" s="60"/>
      <c r="I38" s="60"/>
      <c r="J38" s="60"/>
      <c r="K38" s="60"/>
      <c r="L38" s="60"/>
      <c r="M38" s="60"/>
      <c r="N38" s="60"/>
      <c r="O38" s="60"/>
      <c r="P38" s="60"/>
      <c r="Q38" s="60"/>
      <c r="R38" s="60"/>
      <c r="S38" s="60"/>
      <c r="T38" s="60"/>
      <c r="U38" s="61"/>
    </row>
    <row r="39" spans="2:21" ht="34.5" customHeight="1" x14ac:dyDescent="0.2">
      <c r="B39" s="59" t="s">
        <v>111</v>
      </c>
      <c r="C39" s="60"/>
      <c r="D39" s="60"/>
      <c r="E39" s="60"/>
      <c r="F39" s="60"/>
      <c r="G39" s="60"/>
      <c r="H39" s="60"/>
      <c r="I39" s="60"/>
      <c r="J39" s="60"/>
      <c r="K39" s="60"/>
      <c r="L39" s="60"/>
      <c r="M39" s="60"/>
      <c r="N39" s="60"/>
      <c r="O39" s="60"/>
      <c r="P39" s="60"/>
      <c r="Q39" s="60"/>
      <c r="R39" s="60"/>
      <c r="S39" s="60"/>
      <c r="T39" s="60"/>
      <c r="U39" s="61"/>
    </row>
    <row r="40" spans="2:21" ht="34.5" customHeight="1" x14ac:dyDescent="0.2">
      <c r="B40" s="59" t="s">
        <v>112</v>
      </c>
      <c r="C40" s="60"/>
      <c r="D40" s="60"/>
      <c r="E40" s="60"/>
      <c r="F40" s="60"/>
      <c r="G40" s="60"/>
      <c r="H40" s="60"/>
      <c r="I40" s="60"/>
      <c r="J40" s="60"/>
      <c r="K40" s="60"/>
      <c r="L40" s="60"/>
      <c r="M40" s="60"/>
      <c r="N40" s="60"/>
      <c r="O40" s="60"/>
      <c r="P40" s="60"/>
      <c r="Q40" s="60"/>
      <c r="R40" s="60"/>
      <c r="S40" s="60"/>
      <c r="T40" s="60"/>
      <c r="U40" s="61"/>
    </row>
    <row r="41" spans="2:21" ht="34.5" customHeight="1" x14ac:dyDescent="0.2">
      <c r="B41" s="59" t="s">
        <v>113</v>
      </c>
      <c r="C41" s="60"/>
      <c r="D41" s="60"/>
      <c r="E41" s="60"/>
      <c r="F41" s="60"/>
      <c r="G41" s="60"/>
      <c r="H41" s="60"/>
      <c r="I41" s="60"/>
      <c r="J41" s="60"/>
      <c r="K41" s="60"/>
      <c r="L41" s="60"/>
      <c r="M41" s="60"/>
      <c r="N41" s="60"/>
      <c r="O41" s="60"/>
      <c r="P41" s="60"/>
      <c r="Q41" s="60"/>
      <c r="R41" s="60"/>
      <c r="S41" s="60"/>
      <c r="T41" s="60"/>
      <c r="U41" s="61"/>
    </row>
    <row r="42" spans="2:21" ht="34.5" customHeight="1" x14ac:dyDescent="0.2">
      <c r="B42" s="59" t="s">
        <v>114</v>
      </c>
      <c r="C42" s="60"/>
      <c r="D42" s="60"/>
      <c r="E42" s="60"/>
      <c r="F42" s="60"/>
      <c r="G42" s="60"/>
      <c r="H42" s="60"/>
      <c r="I42" s="60"/>
      <c r="J42" s="60"/>
      <c r="K42" s="60"/>
      <c r="L42" s="60"/>
      <c r="M42" s="60"/>
      <c r="N42" s="60"/>
      <c r="O42" s="60"/>
      <c r="P42" s="60"/>
      <c r="Q42" s="60"/>
      <c r="R42" s="60"/>
      <c r="S42" s="60"/>
      <c r="T42" s="60"/>
      <c r="U42" s="61"/>
    </row>
    <row r="43" spans="2:21" ht="34.5" customHeight="1" x14ac:dyDescent="0.2">
      <c r="B43" s="59" t="s">
        <v>115</v>
      </c>
      <c r="C43" s="60"/>
      <c r="D43" s="60"/>
      <c r="E43" s="60"/>
      <c r="F43" s="60"/>
      <c r="G43" s="60"/>
      <c r="H43" s="60"/>
      <c r="I43" s="60"/>
      <c r="J43" s="60"/>
      <c r="K43" s="60"/>
      <c r="L43" s="60"/>
      <c r="M43" s="60"/>
      <c r="N43" s="60"/>
      <c r="O43" s="60"/>
      <c r="P43" s="60"/>
      <c r="Q43" s="60"/>
      <c r="R43" s="60"/>
      <c r="S43" s="60"/>
      <c r="T43" s="60"/>
      <c r="U43" s="61"/>
    </row>
    <row r="44" spans="2:21" ht="34.5" customHeight="1" x14ac:dyDescent="0.2">
      <c r="B44" s="59" t="s">
        <v>116</v>
      </c>
      <c r="C44" s="60"/>
      <c r="D44" s="60"/>
      <c r="E44" s="60"/>
      <c r="F44" s="60"/>
      <c r="G44" s="60"/>
      <c r="H44" s="60"/>
      <c r="I44" s="60"/>
      <c r="J44" s="60"/>
      <c r="K44" s="60"/>
      <c r="L44" s="60"/>
      <c r="M44" s="60"/>
      <c r="N44" s="60"/>
      <c r="O44" s="60"/>
      <c r="P44" s="60"/>
      <c r="Q44" s="60"/>
      <c r="R44" s="60"/>
      <c r="S44" s="60"/>
      <c r="T44" s="60"/>
      <c r="U44" s="61"/>
    </row>
    <row r="45" spans="2:21" ht="34.5" customHeight="1" x14ac:dyDescent="0.2">
      <c r="B45" s="59" t="s">
        <v>117</v>
      </c>
      <c r="C45" s="60"/>
      <c r="D45" s="60"/>
      <c r="E45" s="60"/>
      <c r="F45" s="60"/>
      <c r="G45" s="60"/>
      <c r="H45" s="60"/>
      <c r="I45" s="60"/>
      <c r="J45" s="60"/>
      <c r="K45" s="60"/>
      <c r="L45" s="60"/>
      <c r="M45" s="60"/>
      <c r="N45" s="60"/>
      <c r="O45" s="60"/>
      <c r="P45" s="60"/>
      <c r="Q45" s="60"/>
      <c r="R45" s="60"/>
      <c r="S45" s="60"/>
      <c r="T45" s="60"/>
      <c r="U45" s="61"/>
    </row>
    <row r="46" spans="2:21" ht="34.5" customHeight="1" x14ac:dyDescent="0.2">
      <c r="B46" s="59" t="s">
        <v>118</v>
      </c>
      <c r="C46" s="60"/>
      <c r="D46" s="60"/>
      <c r="E46" s="60"/>
      <c r="F46" s="60"/>
      <c r="G46" s="60"/>
      <c r="H46" s="60"/>
      <c r="I46" s="60"/>
      <c r="J46" s="60"/>
      <c r="K46" s="60"/>
      <c r="L46" s="60"/>
      <c r="M46" s="60"/>
      <c r="N46" s="60"/>
      <c r="O46" s="60"/>
      <c r="P46" s="60"/>
      <c r="Q46" s="60"/>
      <c r="R46" s="60"/>
      <c r="S46" s="60"/>
      <c r="T46" s="60"/>
      <c r="U46" s="61"/>
    </row>
    <row r="47" spans="2:21" ht="34.5" customHeight="1" x14ac:dyDescent="0.2">
      <c r="B47" s="59" t="s">
        <v>119</v>
      </c>
      <c r="C47" s="60"/>
      <c r="D47" s="60"/>
      <c r="E47" s="60"/>
      <c r="F47" s="60"/>
      <c r="G47" s="60"/>
      <c r="H47" s="60"/>
      <c r="I47" s="60"/>
      <c r="J47" s="60"/>
      <c r="K47" s="60"/>
      <c r="L47" s="60"/>
      <c r="M47" s="60"/>
      <c r="N47" s="60"/>
      <c r="O47" s="60"/>
      <c r="P47" s="60"/>
      <c r="Q47" s="60"/>
      <c r="R47" s="60"/>
      <c r="S47" s="60"/>
      <c r="T47" s="60"/>
      <c r="U47" s="61"/>
    </row>
    <row r="48" spans="2:21" ht="34.5" customHeight="1" x14ac:dyDescent="0.2">
      <c r="B48" s="59" t="s">
        <v>120</v>
      </c>
      <c r="C48" s="60"/>
      <c r="D48" s="60"/>
      <c r="E48" s="60"/>
      <c r="F48" s="60"/>
      <c r="G48" s="60"/>
      <c r="H48" s="60"/>
      <c r="I48" s="60"/>
      <c r="J48" s="60"/>
      <c r="K48" s="60"/>
      <c r="L48" s="60"/>
      <c r="M48" s="60"/>
      <c r="N48" s="60"/>
      <c r="O48" s="60"/>
      <c r="P48" s="60"/>
      <c r="Q48" s="60"/>
      <c r="R48" s="60"/>
      <c r="S48" s="60"/>
      <c r="T48" s="60"/>
      <c r="U48" s="61"/>
    </row>
    <row r="49" spans="2:21" ht="34.5" customHeight="1" x14ac:dyDescent="0.2">
      <c r="B49" s="59" t="s">
        <v>121</v>
      </c>
      <c r="C49" s="60"/>
      <c r="D49" s="60"/>
      <c r="E49" s="60"/>
      <c r="F49" s="60"/>
      <c r="G49" s="60"/>
      <c r="H49" s="60"/>
      <c r="I49" s="60"/>
      <c r="J49" s="60"/>
      <c r="K49" s="60"/>
      <c r="L49" s="60"/>
      <c r="M49" s="60"/>
      <c r="N49" s="60"/>
      <c r="O49" s="60"/>
      <c r="P49" s="60"/>
      <c r="Q49" s="60"/>
      <c r="R49" s="60"/>
      <c r="S49" s="60"/>
      <c r="T49" s="60"/>
      <c r="U49" s="61"/>
    </row>
    <row r="50" spans="2:21" ht="34.5" customHeight="1" x14ac:dyDescent="0.2">
      <c r="B50" s="59" t="s">
        <v>122</v>
      </c>
      <c r="C50" s="60"/>
      <c r="D50" s="60"/>
      <c r="E50" s="60"/>
      <c r="F50" s="60"/>
      <c r="G50" s="60"/>
      <c r="H50" s="60"/>
      <c r="I50" s="60"/>
      <c r="J50" s="60"/>
      <c r="K50" s="60"/>
      <c r="L50" s="60"/>
      <c r="M50" s="60"/>
      <c r="N50" s="60"/>
      <c r="O50" s="60"/>
      <c r="P50" s="60"/>
      <c r="Q50" s="60"/>
      <c r="R50" s="60"/>
      <c r="S50" s="60"/>
      <c r="T50" s="60"/>
      <c r="U50" s="61"/>
    </row>
    <row r="51" spans="2:21" ht="34.5" customHeight="1" x14ac:dyDescent="0.2">
      <c r="B51" s="59" t="s">
        <v>123</v>
      </c>
      <c r="C51" s="60"/>
      <c r="D51" s="60"/>
      <c r="E51" s="60"/>
      <c r="F51" s="60"/>
      <c r="G51" s="60"/>
      <c r="H51" s="60"/>
      <c r="I51" s="60"/>
      <c r="J51" s="60"/>
      <c r="K51" s="60"/>
      <c r="L51" s="60"/>
      <c r="M51" s="60"/>
      <c r="N51" s="60"/>
      <c r="O51" s="60"/>
      <c r="P51" s="60"/>
      <c r="Q51" s="60"/>
      <c r="R51" s="60"/>
      <c r="S51" s="60"/>
      <c r="T51" s="60"/>
      <c r="U51" s="61"/>
    </row>
    <row r="52" spans="2:21" ht="34.5" customHeight="1" x14ac:dyDescent="0.2">
      <c r="B52" s="59" t="s">
        <v>124</v>
      </c>
      <c r="C52" s="60"/>
      <c r="D52" s="60"/>
      <c r="E52" s="60"/>
      <c r="F52" s="60"/>
      <c r="G52" s="60"/>
      <c r="H52" s="60"/>
      <c r="I52" s="60"/>
      <c r="J52" s="60"/>
      <c r="K52" s="60"/>
      <c r="L52" s="60"/>
      <c r="M52" s="60"/>
      <c r="N52" s="60"/>
      <c r="O52" s="60"/>
      <c r="P52" s="60"/>
      <c r="Q52" s="60"/>
      <c r="R52" s="60"/>
      <c r="S52" s="60"/>
      <c r="T52" s="60"/>
      <c r="U52" s="61"/>
    </row>
    <row r="53" spans="2:21" ht="88.35" customHeight="1" x14ac:dyDescent="0.2">
      <c r="B53" s="59" t="s">
        <v>125</v>
      </c>
      <c r="C53" s="60"/>
      <c r="D53" s="60"/>
      <c r="E53" s="60"/>
      <c r="F53" s="60"/>
      <c r="G53" s="60"/>
      <c r="H53" s="60"/>
      <c r="I53" s="60"/>
      <c r="J53" s="60"/>
      <c r="K53" s="60"/>
      <c r="L53" s="60"/>
      <c r="M53" s="60"/>
      <c r="N53" s="60"/>
      <c r="O53" s="60"/>
      <c r="P53" s="60"/>
      <c r="Q53" s="60"/>
      <c r="R53" s="60"/>
      <c r="S53" s="60"/>
      <c r="T53" s="60"/>
      <c r="U53" s="61"/>
    </row>
    <row r="54" spans="2:21" ht="57.95" customHeight="1" x14ac:dyDescent="0.2">
      <c r="B54" s="59" t="s">
        <v>126</v>
      </c>
      <c r="C54" s="60"/>
      <c r="D54" s="60"/>
      <c r="E54" s="60"/>
      <c r="F54" s="60"/>
      <c r="G54" s="60"/>
      <c r="H54" s="60"/>
      <c r="I54" s="60"/>
      <c r="J54" s="60"/>
      <c r="K54" s="60"/>
      <c r="L54" s="60"/>
      <c r="M54" s="60"/>
      <c r="N54" s="60"/>
      <c r="O54" s="60"/>
      <c r="P54" s="60"/>
      <c r="Q54" s="60"/>
      <c r="R54" s="60"/>
      <c r="S54" s="60"/>
      <c r="T54" s="60"/>
      <c r="U54" s="61"/>
    </row>
    <row r="55" spans="2:21" ht="61.7" customHeight="1" thickBot="1" x14ac:dyDescent="0.25">
      <c r="B55" s="62" t="s">
        <v>127</v>
      </c>
      <c r="C55" s="63"/>
      <c r="D55" s="63"/>
      <c r="E55" s="63"/>
      <c r="F55" s="63"/>
      <c r="G55" s="63"/>
      <c r="H55" s="63"/>
      <c r="I55" s="63"/>
      <c r="J55" s="63"/>
      <c r="K55" s="63"/>
      <c r="L55" s="63"/>
      <c r="M55" s="63"/>
      <c r="N55" s="63"/>
      <c r="O55" s="63"/>
      <c r="P55" s="63"/>
      <c r="Q55" s="63"/>
      <c r="R55" s="63"/>
      <c r="S55" s="63"/>
      <c r="T55" s="63"/>
      <c r="U55" s="64"/>
    </row>
  </sheetData>
  <mergeCells count="10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C24:H24"/>
    <mergeCell ref="I24:K24"/>
    <mergeCell ref="L24:O24"/>
    <mergeCell ref="C25:H25"/>
    <mergeCell ref="I25:K25"/>
    <mergeCell ref="L25:O25"/>
    <mergeCell ref="C26:H26"/>
    <mergeCell ref="I26:K26"/>
    <mergeCell ref="L26:O26"/>
    <mergeCell ref="C27:H27"/>
    <mergeCell ref="I27:K27"/>
    <mergeCell ref="L27:O27"/>
    <mergeCell ref="C28:H28"/>
    <mergeCell ref="I28:K28"/>
    <mergeCell ref="L28:O28"/>
    <mergeCell ref="C29:H29"/>
    <mergeCell ref="I29:K29"/>
    <mergeCell ref="L29:O29"/>
    <mergeCell ref="B45:U45"/>
    <mergeCell ref="B33:D33"/>
    <mergeCell ref="B34:D34"/>
    <mergeCell ref="B36:U36"/>
    <mergeCell ref="B37:U37"/>
    <mergeCell ref="B38:U38"/>
    <mergeCell ref="B39:U39"/>
    <mergeCell ref="B40:U40"/>
    <mergeCell ref="B41:U41"/>
    <mergeCell ref="B42:U42"/>
    <mergeCell ref="B43:U43"/>
    <mergeCell ref="B44:U44"/>
    <mergeCell ref="B52:U52"/>
    <mergeCell ref="B53:U53"/>
    <mergeCell ref="B54:U54"/>
    <mergeCell ref="B55:U55"/>
    <mergeCell ref="B46:U46"/>
    <mergeCell ref="B47:U47"/>
    <mergeCell ref="B48:U48"/>
    <mergeCell ref="B49:U49"/>
    <mergeCell ref="B50:U50"/>
    <mergeCell ref="B51:U51"/>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128</v>
      </c>
      <c r="D4" s="99" t="s">
        <v>129</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130</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131</v>
      </c>
      <c r="D11" s="73"/>
      <c r="E11" s="73"/>
      <c r="F11" s="73"/>
      <c r="G11" s="73"/>
      <c r="H11" s="73"/>
      <c r="I11" s="73" t="s">
        <v>56</v>
      </c>
      <c r="J11" s="73"/>
      <c r="K11" s="73"/>
      <c r="L11" s="73" t="s">
        <v>57</v>
      </c>
      <c r="M11" s="73"/>
      <c r="N11" s="73"/>
      <c r="O11" s="73"/>
      <c r="P11" s="27" t="s">
        <v>132</v>
      </c>
      <c r="Q11" s="27" t="s">
        <v>43</v>
      </c>
      <c r="R11" s="54">
        <v>78.19</v>
      </c>
      <c r="S11" s="54" t="s">
        <v>44</v>
      </c>
      <c r="T11" s="54" t="s">
        <v>44</v>
      </c>
      <c r="U11" s="28" t="str">
        <f>IF(ISERR(T11/S11*100),"N/A",T11/S11*100)</f>
        <v>N/A</v>
      </c>
    </row>
    <row r="12" spans="1:34" ht="75" customHeight="1" thickBot="1" x14ac:dyDescent="0.25">
      <c r="A12" s="25"/>
      <c r="B12" s="29" t="s">
        <v>45</v>
      </c>
      <c r="C12" s="72" t="s">
        <v>45</v>
      </c>
      <c r="D12" s="72"/>
      <c r="E12" s="72"/>
      <c r="F12" s="72"/>
      <c r="G12" s="72"/>
      <c r="H12" s="72"/>
      <c r="I12" s="72" t="s">
        <v>133</v>
      </c>
      <c r="J12" s="72"/>
      <c r="K12" s="72"/>
      <c r="L12" s="72" t="s">
        <v>134</v>
      </c>
      <c r="M12" s="72"/>
      <c r="N12" s="72"/>
      <c r="O12" s="72"/>
      <c r="P12" s="30" t="s">
        <v>135</v>
      </c>
      <c r="Q12" s="30" t="s">
        <v>43</v>
      </c>
      <c r="R12" s="31">
        <v>0.9</v>
      </c>
      <c r="S12" s="31" t="s">
        <v>44</v>
      </c>
      <c r="T12" s="31" t="s">
        <v>44</v>
      </c>
      <c r="U12" s="32" t="str">
        <f>IF(ISERR((S12-T12)*100/S12+100),"N/A",(S12-T12)*100/S12+100)</f>
        <v>N/A</v>
      </c>
    </row>
    <row r="13" spans="1:34" ht="75" customHeight="1" thickTop="1" thickBot="1" x14ac:dyDescent="0.25">
      <c r="A13" s="25"/>
      <c r="B13" s="26" t="s">
        <v>62</v>
      </c>
      <c r="C13" s="73" t="s">
        <v>136</v>
      </c>
      <c r="D13" s="73"/>
      <c r="E13" s="73"/>
      <c r="F13" s="73"/>
      <c r="G13" s="73"/>
      <c r="H13" s="73"/>
      <c r="I13" s="73" t="s">
        <v>137</v>
      </c>
      <c r="J13" s="73"/>
      <c r="K13" s="73"/>
      <c r="L13" s="73" t="s">
        <v>138</v>
      </c>
      <c r="M13" s="73"/>
      <c r="N13" s="73"/>
      <c r="O13" s="73"/>
      <c r="P13" s="27" t="s">
        <v>48</v>
      </c>
      <c r="Q13" s="27" t="s">
        <v>139</v>
      </c>
      <c r="R13" s="27">
        <v>7.55</v>
      </c>
      <c r="S13" s="27">
        <v>3.89</v>
      </c>
      <c r="T13" s="27">
        <v>3.38</v>
      </c>
      <c r="U13" s="28">
        <f t="shared" ref="U13:U24" si="0">IF(ISERR(T13/S13*100),"N/A",T13/S13*100)</f>
        <v>86.889460154241632</v>
      </c>
    </row>
    <row r="14" spans="1:34" ht="75" customHeight="1" thickTop="1" x14ac:dyDescent="0.2">
      <c r="A14" s="25"/>
      <c r="B14" s="26" t="s">
        <v>71</v>
      </c>
      <c r="C14" s="73" t="s">
        <v>140</v>
      </c>
      <c r="D14" s="73"/>
      <c r="E14" s="73"/>
      <c r="F14" s="73"/>
      <c r="G14" s="73"/>
      <c r="H14" s="73"/>
      <c r="I14" s="73" t="s">
        <v>141</v>
      </c>
      <c r="J14" s="73"/>
      <c r="K14" s="73"/>
      <c r="L14" s="73" t="s">
        <v>142</v>
      </c>
      <c r="M14" s="73"/>
      <c r="N14" s="73"/>
      <c r="O14" s="73"/>
      <c r="P14" s="27" t="s">
        <v>48</v>
      </c>
      <c r="Q14" s="27" t="s">
        <v>143</v>
      </c>
      <c r="R14" s="27">
        <v>97</v>
      </c>
      <c r="S14" s="27">
        <v>97.01</v>
      </c>
      <c r="T14" s="27">
        <v>93.15</v>
      </c>
      <c r="U14" s="28">
        <f t="shared" si="0"/>
        <v>96.021028759921663</v>
      </c>
    </row>
    <row r="15" spans="1:34" ht="75" customHeight="1" x14ac:dyDescent="0.2">
      <c r="A15" s="25"/>
      <c r="B15" s="29" t="s">
        <v>45</v>
      </c>
      <c r="C15" s="72" t="s">
        <v>144</v>
      </c>
      <c r="D15" s="72"/>
      <c r="E15" s="72"/>
      <c r="F15" s="72"/>
      <c r="G15" s="72"/>
      <c r="H15" s="72"/>
      <c r="I15" s="72" t="s">
        <v>145</v>
      </c>
      <c r="J15" s="72"/>
      <c r="K15" s="72"/>
      <c r="L15" s="72" t="s">
        <v>146</v>
      </c>
      <c r="M15" s="72"/>
      <c r="N15" s="72"/>
      <c r="O15" s="72"/>
      <c r="P15" s="30" t="s">
        <v>48</v>
      </c>
      <c r="Q15" s="30" t="s">
        <v>143</v>
      </c>
      <c r="R15" s="30">
        <v>97</v>
      </c>
      <c r="S15" s="30">
        <v>97</v>
      </c>
      <c r="T15" s="30">
        <v>89.99</v>
      </c>
      <c r="U15" s="32">
        <f t="shared" si="0"/>
        <v>92.773195876288653</v>
      </c>
    </row>
    <row r="16" spans="1:34" ht="75" customHeight="1" x14ac:dyDescent="0.2">
      <c r="A16" s="25"/>
      <c r="B16" s="29" t="s">
        <v>45</v>
      </c>
      <c r="C16" s="72" t="s">
        <v>147</v>
      </c>
      <c r="D16" s="72"/>
      <c r="E16" s="72"/>
      <c r="F16" s="72"/>
      <c r="G16" s="72"/>
      <c r="H16" s="72"/>
      <c r="I16" s="72" t="s">
        <v>148</v>
      </c>
      <c r="J16" s="72"/>
      <c r="K16" s="72"/>
      <c r="L16" s="72" t="s">
        <v>149</v>
      </c>
      <c r="M16" s="72"/>
      <c r="N16" s="72"/>
      <c r="O16" s="72"/>
      <c r="P16" s="30" t="s">
        <v>48</v>
      </c>
      <c r="Q16" s="30" t="s">
        <v>139</v>
      </c>
      <c r="R16" s="30">
        <v>20</v>
      </c>
      <c r="S16" s="30">
        <v>38</v>
      </c>
      <c r="T16" s="30">
        <v>41.37</v>
      </c>
      <c r="U16" s="32">
        <f t="shared" si="0"/>
        <v>108.86842105263158</v>
      </c>
    </row>
    <row r="17" spans="1:22" ht="75" customHeight="1" x14ac:dyDescent="0.2">
      <c r="A17" s="25"/>
      <c r="B17" s="29" t="s">
        <v>45</v>
      </c>
      <c r="C17" s="72" t="s">
        <v>150</v>
      </c>
      <c r="D17" s="72"/>
      <c r="E17" s="72"/>
      <c r="F17" s="72"/>
      <c r="G17" s="72"/>
      <c r="H17" s="72"/>
      <c r="I17" s="72" t="s">
        <v>151</v>
      </c>
      <c r="J17" s="72"/>
      <c r="K17" s="72"/>
      <c r="L17" s="72" t="s">
        <v>152</v>
      </c>
      <c r="M17" s="72"/>
      <c r="N17" s="72"/>
      <c r="O17" s="72"/>
      <c r="P17" s="30" t="s">
        <v>48</v>
      </c>
      <c r="Q17" s="30" t="s">
        <v>153</v>
      </c>
      <c r="R17" s="30">
        <v>90</v>
      </c>
      <c r="S17" s="30" t="s">
        <v>44</v>
      </c>
      <c r="T17" s="30" t="s">
        <v>44</v>
      </c>
      <c r="U17" s="32" t="str">
        <f t="shared" si="0"/>
        <v>N/A</v>
      </c>
    </row>
    <row r="18" spans="1:22" ht="75" customHeight="1" thickBot="1" x14ac:dyDescent="0.25">
      <c r="A18" s="25"/>
      <c r="B18" s="29" t="s">
        <v>45</v>
      </c>
      <c r="C18" s="72" t="s">
        <v>154</v>
      </c>
      <c r="D18" s="72"/>
      <c r="E18" s="72"/>
      <c r="F18" s="72"/>
      <c r="G18" s="72"/>
      <c r="H18" s="72"/>
      <c r="I18" s="72" t="s">
        <v>155</v>
      </c>
      <c r="J18" s="72"/>
      <c r="K18" s="72"/>
      <c r="L18" s="72" t="s">
        <v>156</v>
      </c>
      <c r="M18" s="72"/>
      <c r="N18" s="72"/>
      <c r="O18" s="72"/>
      <c r="P18" s="30" t="s">
        <v>48</v>
      </c>
      <c r="Q18" s="30" t="s">
        <v>139</v>
      </c>
      <c r="R18" s="30">
        <v>95</v>
      </c>
      <c r="S18" s="30">
        <v>95</v>
      </c>
      <c r="T18" s="30">
        <v>95.5</v>
      </c>
      <c r="U18" s="32">
        <f t="shared" si="0"/>
        <v>100.52631578947368</v>
      </c>
    </row>
    <row r="19" spans="1:22" ht="75" customHeight="1" thickTop="1" x14ac:dyDescent="0.2">
      <c r="A19" s="25"/>
      <c r="B19" s="26" t="s">
        <v>87</v>
      </c>
      <c r="C19" s="73" t="s">
        <v>157</v>
      </c>
      <c r="D19" s="73"/>
      <c r="E19" s="73"/>
      <c r="F19" s="73"/>
      <c r="G19" s="73"/>
      <c r="H19" s="73"/>
      <c r="I19" s="73" t="s">
        <v>158</v>
      </c>
      <c r="J19" s="73"/>
      <c r="K19" s="73"/>
      <c r="L19" s="73" t="s">
        <v>159</v>
      </c>
      <c r="M19" s="73"/>
      <c r="N19" s="73"/>
      <c r="O19" s="73"/>
      <c r="P19" s="27" t="s">
        <v>48</v>
      </c>
      <c r="Q19" s="27" t="s">
        <v>91</v>
      </c>
      <c r="R19" s="27">
        <v>98</v>
      </c>
      <c r="S19" s="27">
        <v>98</v>
      </c>
      <c r="T19" s="27">
        <v>98</v>
      </c>
      <c r="U19" s="28">
        <f t="shared" si="0"/>
        <v>100</v>
      </c>
    </row>
    <row r="20" spans="1:22" ht="75" customHeight="1" x14ac:dyDescent="0.2">
      <c r="A20" s="25"/>
      <c r="B20" s="29" t="s">
        <v>45</v>
      </c>
      <c r="C20" s="72" t="s">
        <v>160</v>
      </c>
      <c r="D20" s="72"/>
      <c r="E20" s="72"/>
      <c r="F20" s="72"/>
      <c r="G20" s="72"/>
      <c r="H20" s="72"/>
      <c r="I20" s="72" t="s">
        <v>161</v>
      </c>
      <c r="J20" s="72"/>
      <c r="K20" s="72"/>
      <c r="L20" s="72" t="s">
        <v>162</v>
      </c>
      <c r="M20" s="72"/>
      <c r="N20" s="72"/>
      <c r="O20" s="72"/>
      <c r="P20" s="30" t="s">
        <v>48</v>
      </c>
      <c r="Q20" s="30" t="s">
        <v>91</v>
      </c>
      <c r="R20" s="30">
        <v>98</v>
      </c>
      <c r="S20" s="30">
        <v>98</v>
      </c>
      <c r="T20" s="30">
        <v>97.55</v>
      </c>
      <c r="U20" s="32">
        <f t="shared" si="0"/>
        <v>99.540816326530617</v>
      </c>
    </row>
    <row r="21" spans="1:22" ht="75" customHeight="1" x14ac:dyDescent="0.2">
      <c r="A21" s="25"/>
      <c r="B21" s="29" t="s">
        <v>45</v>
      </c>
      <c r="C21" s="72" t="s">
        <v>163</v>
      </c>
      <c r="D21" s="72"/>
      <c r="E21" s="72"/>
      <c r="F21" s="72"/>
      <c r="G21" s="72"/>
      <c r="H21" s="72"/>
      <c r="I21" s="72" t="s">
        <v>164</v>
      </c>
      <c r="J21" s="72"/>
      <c r="K21" s="72"/>
      <c r="L21" s="72" t="s">
        <v>165</v>
      </c>
      <c r="M21" s="72"/>
      <c r="N21" s="72"/>
      <c r="O21" s="72"/>
      <c r="P21" s="30" t="s">
        <v>48</v>
      </c>
      <c r="Q21" s="30" t="s">
        <v>91</v>
      </c>
      <c r="R21" s="30">
        <v>90</v>
      </c>
      <c r="S21" s="30">
        <v>23</v>
      </c>
      <c r="T21" s="30">
        <v>23.42</v>
      </c>
      <c r="U21" s="32">
        <f t="shared" si="0"/>
        <v>101.82608695652175</v>
      </c>
    </row>
    <row r="22" spans="1:22" ht="75" customHeight="1" x14ac:dyDescent="0.2">
      <c r="A22" s="25"/>
      <c r="B22" s="29" t="s">
        <v>45</v>
      </c>
      <c r="C22" s="72" t="s">
        <v>166</v>
      </c>
      <c r="D22" s="72"/>
      <c r="E22" s="72"/>
      <c r="F22" s="72"/>
      <c r="G22" s="72"/>
      <c r="H22" s="72"/>
      <c r="I22" s="72" t="s">
        <v>167</v>
      </c>
      <c r="J22" s="72"/>
      <c r="K22" s="72"/>
      <c r="L22" s="72" t="s">
        <v>168</v>
      </c>
      <c r="M22" s="72"/>
      <c r="N22" s="72"/>
      <c r="O22" s="72"/>
      <c r="P22" s="30" t="s">
        <v>48</v>
      </c>
      <c r="Q22" s="30" t="s">
        <v>91</v>
      </c>
      <c r="R22" s="30">
        <v>90</v>
      </c>
      <c r="S22" s="30">
        <v>33</v>
      </c>
      <c r="T22" s="30">
        <v>35.04</v>
      </c>
      <c r="U22" s="32">
        <f t="shared" si="0"/>
        <v>106.18181818181817</v>
      </c>
    </row>
    <row r="23" spans="1:22" ht="75" customHeight="1" x14ac:dyDescent="0.2">
      <c r="A23" s="25"/>
      <c r="B23" s="29" t="s">
        <v>45</v>
      </c>
      <c r="C23" s="72" t="s">
        <v>169</v>
      </c>
      <c r="D23" s="72"/>
      <c r="E23" s="72"/>
      <c r="F23" s="72"/>
      <c r="G23" s="72"/>
      <c r="H23" s="72"/>
      <c r="I23" s="72" t="s">
        <v>170</v>
      </c>
      <c r="J23" s="72"/>
      <c r="K23" s="72"/>
      <c r="L23" s="72" t="s">
        <v>171</v>
      </c>
      <c r="M23" s="72"/>
      <c r="N23" s="72"/>
      <c r="O23" s="72"/>
      <c r="P23" s="30" t="s">
        <v>48</v>
      </c>
      <c r="Q23" s="30" t="s">
        <v>91</v>
      </c>
      <c r="R23" s="30">
        <v>90</v>
      </c>
      <c r="S23" s="30">
        <v>20</v>
      </c>
      <c r="T23" s="30">
        <v>21.84</v>
      </c>
      <c r="U23" s="32">
        <f t="shared" si="0"/>
        <v>109.2</v>
      </c>
    </row>
    <row r="24" spans="1:22" ht="75" customHeight="1" thickBot="1" x14ac:dyDescent="0.25">
      <c r="A24" s="25"/>
      <c r="B24" s="29" t="s">
        <v>45</v>
      </c>
      <c r="C24" s="72" t="s">
        <v>172</v>
      </c>
      <c r="D24" s="72"/>
      <c r="E24" s="72"/>
      <c r="F24" s="72"/>
      <c r="G24" s="72"/>
      <c r="H24" s="72"/>
      <c r="I24" s="72" t="s">
        <v>173</v>
      </c>
      <c r="J24" s="72"/>
      <c r="K24" s="72"/>
      <c r="L24" s="72" t="s">
        <v>174</v>
      </c>
      <c r="M24" s="72"/>
      <c r="N24" s="72"/>
      <c r="O24" s="72"/>
      <c r="P24" s="30" t="s">
        <v>48</v>
      </c>
      <c r="Q24" s="30" t="s">
        <v>91</v>
      </c>
      <c r="R24" s="30">
        <v>83</v>
      </c>
      <c r="S24" s="30">
        <v>83</v>
      </c>
      <c r="T24" s="30">
        <v>69.209999999999994</v>
      </c>
      <c r="U24" s="32">
        <f t="shared" si="0"/>
        <v>83.385542168674689</v>
      </c>
    </row>
    <row r="25" spans="1:22" ht="22.5" customHeight="1" thickTop="1" thickBot="1" x14ac:dyDescent="0.25">
      <c r="B25" s="8" t="s">
        <v>98</v>
      </c>
      <c r="C25" s="9"/>
      <c r="D25" s="9"/>
      <c r="E25" s="9"/>
      <c r="F25" s="9"/>
      <c r="G25" s="9"/>
      <c r="H25" s="10"/>
      <c r="I25" s="10"/>
      <c r="J25" s="10"/>
      <c r="K25" s="10"/>
      <c r="L25" s="10"/>
      <c r="M25" s="10"/>
      <c r="N25" s="10"/>
      <c r="O25" s="10"/>
      <c r="P25" s="10"/>
      <c r="Q25" s="10"/>
      <c r="R25" s="10"/>
      <c r="S25" s="10"/>
      <c r="T25" s="10"/>
      <c r="U25" s="11"/>
      <c r="V25" s="33"/>
    </row>
    <row r="26" spans="1:22" ht="26.25" customHeight="1" thickTop="1" x14ac:dyDescent="0.2">
      <c r="B26" s="34"/>
      <c r="C26" s="35"/>
      <c r="D26" s="35"/>
      <c r="E26" s="35"/>
      <c r="F26" s="35"/>
      <c r="G26" s="35"/>
      <c r="H26" s="36"/>
      <c r="I26" s="36"/>
      <c r="J26" s="36"/>
      <c r="K26" s="36"/>
      <c r="L26" s="36"/>
      <c r="M26" s="36"/>
      <c r="N26" s="36"/>
      <c r="O26" s="36"/>
      <c r="P26" s="37"/>
      <c r="Q26" s="38"/>
      <c r="R26" s="39" t="s">
        <v>99</v>
      </c>
      <c r="S26" s="22" t="s">
        <v>100</v>
      </c>
      <c r="T26" s="39" t="s">
        <v>101</v>
      </c>
      <c r="U26" s="22" t="s">
        <v>102</v>
      </c>
    </row>
    <row r="27" spans="1:22" ht="26.25" customHeight="1" thickBot="1" x14ac:dyDescent="0.25">
      <c r="B27" s="40"/>
      <c r="C27" s="41"/>
      <c r="D27" s="41"/>
      <c r="E27" s="41"/>
      <c r="F27" s="41"/>
      <c r="G27" s="41"/>
      <c r="H27" s="42"/>
      <c r="I27" s="42"/>
      <c r="J27" s="42"/>
      <c r="K27" s="42"/>
      <c r="L27" s="42"/>
      <c r="M27" s="42"/>
      <c r="N27" s="42"/>
      <c r="O27" s="42"/>
      <c r="P27" s="43"/>
      <c r="Q27" s="44"/>
      <c r="R27" s="45" t="s">
        <v>103</v>
      </c>
      <c r="S27" s="44" t="s">
        <v>103</v>
      </c>
      <c r="T27" s="44" t="s">
        <v>103</v>
      </c>
      <c r="U27" s="44" t="s">
        <v>104</v>
      </c>
    </row>
    <row r="28" spans="1:22" ht="13.5" customHeight="1" thickBot="1" x14ac:dyDescent="0.25">
      <c r="B28" s="65" t="s">
        <v>105</v>
      </c>
      <c r="C28" s="66"/>
      <c r="D28" s="66"/>
      <c r="E28" s="46"/>
      <c r="F28" s="46"/>
      <c r="G28" s="46"/>
      <c r="H28" s="47"/>
      <c r="I28" s="47"/>
      <c r="J28" s="47"/>
      <c r="K28" s="47"/>
      <c r="L28" s="47"/>
      <c r="M28" s="47"/>
      <c r="N28" s="47"/>
      <c r="O28" s="47"/>
      <c r="P28" s="48"/>
      <c r="Q28" s="48"/>
      <c r="R28" s="49">
        <f>1176.929362</f>
        <v>1176.9293620000001</v>
      </c>
      <c r="S28" s="49">
        <f>809.135568</f>
        <v>809.13556800000003</v>
      </c>
      <c r="T28" s="49">
        <f>780.51518546</f>
        <v>780.51518546</v>
      </c>
      <c r="U28" s="50">
        <f>+IF(ISERR(T28/S28*100),"N/A",T28/S28*100)</f>
        <v>96.462844587249691</v>
      </c>
    </row>
    <row r="29" spans="1:22" ht="13.5" customHeight="1" thickBot="1" x14ac:dyDescent="0.25">
      <c r="B29" s="67" t="s">
        <v>106</v>
      </c>
      <c r="C29" s="68"/>
      <c r="D29" s="68"/>
      <c r="E29" s="51"/>
      <c r="F29" s="51"/>
      <c r="G29" s="51"/>
      <c r="H29" s="52"/>
      <c r="I29" s="52"/>
      <c r="J29" s="52"/>
      <c r="K29" s="52"/>
      <c r="L29" s="52"/>
      <c r="M29" s="52"/>
      <c r="N29" s="52"/>
      <c r="O29" s="52"/>
      <c r="P29" s="53"/>
      <c r="Q29" s="53"/>
      <c r="R29" s="49">
        <f>1129.15724</f>
        <v>1129.15724</v>
      </c>
      <c r="S29" s="49">
        <f>799.711852</f>
        <v>799.71185200000002</v>
      </c>
      <c r="T29" s="49">
        <f>780.51518546</f>
        <v>780.51518546</v>
      </c>
      <c r="U29" s="50">
        <f>+IF(ISERR(T29/S29*100),"N/A",T29/S29*100)</f>
        <v>97.599552077164901</v>
      </c>
    </row>
    <row r="30" spans="1:22" ht="14.85" customHeight="1" thickTop="1" thickBot="1" x14ac:dyDescent="0.25">
      <c r="B30" s="8" t="s">
        <v>107</v>
      </c>
      <c r="C30" s="9"/>
      <c r="D30" s="9"/>
      <c r="E30" s="9"/>
      <c r="F30" s="9"/>
      <c r="G30" s="9"/>
      <c r="H30" s="10"/>
      <c r="I30" s="10"/>
      <c r="J30" s="10"/>
      <c r="K30" s="10"/>
      <c r="L30" s="10"/>
      <c r="M30" s="10"/>
      <c r="N30" s="10"/>
      <c r="O30" s="10"/>
      <c r="P30" s="10"/>
      <c r="Q30" s="10"/>
      <c r="R30" s="10"/>
      <c r="S30" s="10"/>
      <c r="T30" s="10"/>
      <c r="U30" s="11"/>
    </row>
    <row r="31" spans="1:22" ht="44.25" customHeight="1" thickTop="1" x14ac:dyDescent="0.2">
      <c r="B31" s="69" t="s">
        <v>108</v>
      </c>
      <c r="C31" s="70"/>
      <c r="D31" s="70"/>
      <c r="E31" s="70"/>
      <c r="F31" s="70"/>
      <c r="G31" s="70"/>
      <c r="H31" s="70"/>
      <c r="I31" s="70"/>
      <c r="J31" s="70"/>
      <c r="K31" s="70"/>
      <c r="L31" s="70"/>
      <c r="M31" s="70"/>
      <c r="N31" s="70"/>
      <c r="O31" s="70"/>
      <c r="P31" s="70"/>
      <c r="Q31" s="70"/>
      <c r="R31" s="70"/>
      <c r="S31" s="70"/>
      <c r="T31" s="70"/>
      <c r="U31" s="71"/>
    </row>
    <row r="32" spans="1:22" ht="34.5" customHeight="1" x14ac:dyDescent="0.2">
      <c r="B32" s="59" t="s">
        <v>114</v>
      </c>
      <c r="C32" s="60"/>
      <c r="D32" s="60"/>
      <c r="E32" s="60"/>
      <c r="F32" s="60"/>
      <c r="G32" s="60"/>
      <c r="H32" s="60"/>
      <c r="I32" s="60"/>
      <c r="J32" s="60"/>
      <c r="K32" s="60"/>
      <c r="L32" s="60"/>
      <c r="M32" s="60"/>
      <c r="N32" s="60"/>
      <c r="O32" s="60"/>
      <c r="P32" s="60"/>
      <c r="Q32" s="60"/>
      <c r="R32" s="60"/>
      <c r="S32" s="60"/>
      <c r="T32" s="60"/>
      <c r="U32" s="61"/>
    </row>
    <row r="33" spans="2:21" ht="34.5" customHeight="1" x14ac:dyDescent="0.2">
      <c r="B33" s="59" t="s">
        <v>175</v>
      </c>
      <c r="C33" s="60"/>
      <c r="D33" s="60"/>
      <c r="E33" s="60"/>
      <c r="F33" s="60"/>
      <c r="G33" s="60"/>
      <c r="H33" s="60"/>
      <c r="I33" s="60"/>
      <c r="J33" s="60"/>
      <c r="K33" s="60"/>
      <c r="L33" s="60"/>
      <c r="M33" s="60"/>
      <c r="N33" s="60"/>
      <c r="O33" s="60"/>
      <c r="P33" s="60"/>
      <c r="Q33" s="60"/>
      <c r="R33" s="60"/>
      <c r="S33" s="60"/>
      <c r="T33" s="60"/>
      <c r="U33" s="61"/>
    </row>
    <row r="34" spans="2:21" ht="47.25" customHeight="1" x14ac:dyDescent="0.2">
      <c r="B34" s="59" t="s">
        <v>176</v>
      </c>
      <c r="C34" s="60"/>
      <c r="D34" s="60"/>
      <c r="E34" s="60"/>
      <c r="F34" s="60"/>
      <c r="G34" s="60"/>
      <c r="H34" s="60"/>
      <c r="I34" s="60"/>
      <c r="J34" s="60"/>
      <c r="K34" s="60"/>
      <c r="L34" s="60"/>
      <c r="M34" s="60"/>
      <c r="N34" s="60"/>
      <c r="O34" s="60"/>
      <c r="P34" s="60"/>
      <c r="Q34" s="60"/>
      <c r="R34" s="60"/>
      <c r="S34" s="60"/>
      <c r="T34" s="60"/>
      <c r="U34" s="61"/>
    </row>
    <row r="35" spans="2:21" ht="45.6" customHeight="1" x14ac:dyDescent="0.2">
      <c r="B35" s="59" t="s">
        <v>177</v>
      </c>
      <c r="C35" s="60"/>
      <c r="D35" s="60"/>
      <c r="E35" s="60"/>
      <c r="F35" s="60"/>
      <c r="G35" s="60"/>
      <c r="H35" s="60"/>
      <c r="I35" s="60"/>
      <c r="J35" s="60"/>
      <c r="K35" s="60"/>
      <c r="L35" s="60"/>
      <c r="M35" s="60"/>
      <c r="N35" s="60"/>
      <c r="O35" s="60"/>
      <c r="P35" s="60"/>
      <c r="Q35" s="60"/>
      <c r="R35" s="60"/>
      <c r="S35" s="60"/>
      <c r="T35" s="60"/>
      <c r="U35" s="61"/>
    </row>
    <row r="36" spans="2:21" ht="43.35" customHeight="1" x14ac:dyDescent="0.2">
      <c r="B36" s="59" t="s">
        <v>178</v>
      </c>
      <c r="C36" s="60"/>
      <c r="D36" s="60"/>
      <c r="E36" s="60"/>
      <c r="F36" s="60"/>
      <c r="G36" s="60"/>
      <c r="H36" s="60"/>
      <c r="I36" s="60"/>
      <c r="J36" s="60"/>
      <c r="K36" s="60"/>
      <c r="L36" s="60"/>
      <c r="M36" s="60"/>
      <c r="N36" s="60"/>
      <c r="O36" s="60"/>
      <c r="P36" s="60"/>
      <c r="Q36" s="60"/>
      <c r="R36" s="60"/>
      <c r="S36" s="60"/>
      <c r="T36" s="60"/>
      <c r="U36" s="61"/>
    </row>
    <row r="37" spans="2:21" ht="45.2" customHeight="1" x14ac:dyDescent="0.2">
      <c r="B37" s="59" t="s">
        <v>179</v>
      </c>
      <c r="C37" s="60"/>
      <c r="D37" s="60"/>
      <c r="E37" s="60"/>
      <c r="F37" s="60"/>
      <c r="G37" s="60"/>
      <c r="H37" s="60"/>
      <c r="I37" s="60"/>
      <c r="J37" s="60"/>
      <c r="K37" s="60"/>
      <c r="L37" s="60"/>
      <c r="M37" s="60"/>
      <c r="N37" s="60"/>
      <c r="O37" s="60"/>
      <c r="P37" s="60"/>
      <c r="Q37" s="60"/>
      <c r="R37" s="60"/>
      <c r="S37" s="60"/>
      <c r="T37" s="60"/>
      <c r="U37" s="61"/>
    </row>
    <row r="38" spans="2:21" ht="34.5" customHeight="1" x14ac:dyDescent="0.2">
      <c r="B38" s="59" t="s">
        <v>180</v>
      </c>
      <c r="C38" s="60"/>
      <c r="D38" s="60"/>
      <c r="E38" s="60"/>
      <c r="F38" s="60"/>
      <c r="G38" s="60"/>
      <c r="H38" s="60"/>
      <c r="I38" s="60"/>
      <c r="J38" s="60"/>
      <c r="K38" s="60"/>
      <c r="L38" s="60"/>
      <c r="M38" s="60"/>
      <c r="N38" s="60"/>
      <c r="O38" s="60"/>
      <c r="P38" s="60"/>
      <c r="Q38" s="60"/>
      <c r="R38" s="60"/>
      <c r="S38" s="60"/>
      <c r="T38" s="60"/>
      <c r="U38" s="61"/>
    </row>
    <row r="39" spans="2:21" ht="27.75" customHeight="1" x14ac:dyDescent="0.2">
      <c r="B39" s="59" t="s">
        <v>181</v>
      </c>
      <c r="C39" s="60"/>
      <c r="D39" s="60"/>
      <c r="E39" s="60"/>
      <c r="F39" s="60"/>
      <c r="G39" s="60"/>
      <c r="H39" s="60"/>
      <c r="I39" s="60"/>
      <c r="J39" s="60"/>
      <c r="K39" s="60"/>
      <c r="L39" s="60"/>
      <c r="M39" s="60"/>
      <c r="N39" s="60"/>
      <c r="O39" s="60"/>
      <c r="P39" s="60"/>
      <c r="Q39" s="60"/>
      <c r="R39" s="60"/>
      <c r="S39" s="60"/>
      <c r="T39" s="60"/>
      <c r="U39" s="61"/>
    </row>
    <row r="40" spans="2:21" ht="30.2" customHeight="1" x14ac:dyDescent="0.2">
      <c r="B40" s="59" t="s">
        <v>182</v>
      </c>
      <c r="C40" s="60"/>
      <c r="D40" s="60"/>
      <c r="E40" s="60"/>
      <c r="F40" s="60"/>
      <c r="G40" s="60"/>
      <c r="H40" s="60"/>
      <c r="I40" s="60"/>
      <c r="J40" s="60"/>
      <c r="K40" s="60"/>
      <c r="L40" s="60"/>
      <c r="M40" s="60"/>
      <c r="N40" s="60"/>
      <c r="O40" s="60"/>
      <c r="P40" s="60"/>
      <c r="Q40" s="60"/>
      <c r="R40" s="60"/>
      <c r="S40" s="60"/>
      <c r="T40" s="60"/>
      <c r="U40" s="61"/>
    </row>
    <row r="41" spans="2:21" ht="26.85" customHeight="1" x14ac:dyDescent="0.2">
      <c r="B41" s="59" t="s">
        <v>183</v>
      </c>
      <c r="C41" s="60"/>
      <c r="D41" s="60"/>
      <c r="E41" s="60"/>
      <c r="F41" s="60"/>
      <c r="G41" s="60"/>
      <c r="H41" s="60"/>
      <c r="I41" s="60"/>
      <c r="J41" s="60"/>
      <c r="K41" s="60"/>
      <c r="L41" s="60"/>
      <c r="M41" s="60"/>
      <c r="N41" s="60"/>
      <c r="O41" s="60"/>
      <c r="P41" s="60"/>
      <c r="Q41" s="60"/>
      <c r="R41" s="60"/>
      <c r="S41" s="60"/>
      <c r="T41" s="60"/>
      <c r="U41" s="61"/>
    </row>
    <row r="42" spans="2:21" ht="44.85" customHeight="1" x14ac:dyDescent="0.2">
      <c r="B42" s="59" t="s">
        <v>184</v>
      </c>
      <c r="C42" s="60"/>
      <c r="D42" s="60"/>
      <c r="E42" s="60"/>
      <c r="F42" s="60"/>
      <c r="G42" s="60"/>
      <c r="H42" s="60"/>
      <c r="I42" s="60"/>
      <c r="J42" s="60"/>
      <c r="K42" s="60"/>
      <c r="L42" s="60"/>
      <c r="M42" s="60"/>
      <c r="N42" s="60"/>
      <c r="O42" s="60"/>
      <c r="P42" s="60"/>
      <c r="Q42" s="60"/>
      <c r="R42" s="60"/>
      <c r="S42" s="60"/>
      <c r="T42" s="60"/>
      <c r="U42" s="61"/>
    </row>
    <row r="43" spans="2:21" ht="53.1" customHeight="1" x14ac:dyDescent="0.2">
      <c r="B43" s="59" t="s">
        <v>185</v>
      </c>
      <c r="C43" s="60"/>
      <c r="D43" s="60"/>
      <c r="E43" s="60"/>
      <c r="F43" s="60"/>
      <c r="G43" s="60"/>
      <c r="H43" s="60"/>
      <c r="I43" s="60"/>
      <c r="J43" s="60"/>
      <c r="K43" s="60"/>
      <c r="L43" s="60"/>
      <c r="M43" s="60"/>
      <c r="N43" s="60"/>
      <c r="O43" s="60"/>
      <c r="P43" s="60"/>
      <c r="Q43" s="60"/>
      <c r="R43" s="60"/>
      <c r="S43" s="60"/>
      <c r="T43" s="60"/>
      <c r="U43" s="61"/>
    </row>
    <row r="44" spans="2:21" ht="33" customHeight="1" x14ac:dyDescent="0.2">
      <c r="B44" s="59" t="s">
        <v>186</v>
      </c>
      <c r="C44" s="60"/>
      <c r="D44" s="60"/>
      <c r="E44" s="60"/>
      <c r="F44" s="60"/>
      <c r="G44" s="60"/>
      <c r="H44" s="60"/>
      <c r="I44" s="60"/>
      <c r="J44" s="60"/>
      <c r="K44" s="60"/>
      <c r="L44" s="60"/>
      <c r="M44" s="60"/>
      <c r="N44" s="60"/>
      <c r="O44" s="60"/>
      <c r="P44" s="60"/>
      <c r="Q44" s="60"/>
      <c r="R44" s="60"/>
      <c r="S44" s="60"/>
      <c r="T44" s="60"/>
      <c r="U44" s="61"/>
    </row>
    <row r="45" spans="2:21" ht="47.1" customHeight="1" thickBot="1" x14ac:dyDescent="0.25">
      <c r="B45" s="62" t="s">
        <v>187</v>
      </c>
      <c r="C45" s="63"/>
      <c r="D45" s="63"/>
      <c r="E45" s="63"/>
      <c r="F45" s="63"/>
      <c r="G45" s="63"/>
      <c r="H45" s="63"/>
      <c r="I45" s="63"/>
      <c r="J45" s="63"/>
      <c r="K45" s="63"/>
      <c r="L45" s="63"/>
      <c r="M45" s="63"/>
      <c r="N45" s="63"/>
      <c r="O45" s="63"/>
      <c r="P45" s="63"/>
      <c r="Q45" s="63"/>
      <c r="R45" s="63"/>
      <c r="S45" s="63"/>
      <c r="T45" s="63"/>
      <c r="U45" s="64"/>
    </row>
  </sheetData>
  <mergeCells count="8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B37:U37"/>
    <mergeCell ref="C24:H24"/>
    <mergeCell ref="I24:K24"/>
    <mergeCell ref="L24:O24"/>
    <mergeCell ref="B28:D28"/>
    <mergeCell ref="B29:D29"/>
    <mergeCell ref="B31:U31"/>
    <mergeCell ref="B32:U32"/>
    <mergeCell ref="B33:U33"/>
    <mergeCell ref="B34:U34"/>
    <mergeCell ref="B35:U35"/>
    <mergeCell ref="B36:U36"/>
    <mergeCell ref="B44:U44"/>
    <mergeCell ref="B45:U45"/>
    <mergeCell ref="B38:U38"/>
    <mergeCell ref="B39:U39"/>
    <mergeCell ref="B40:U40"/>
    <mergeCell ref="B41:U41"/>
    <mergeCell ref="B42:U42"/>
    <mergeCell ref="B43:U43"/>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188</v>
      </c>
      <c r="D4" s="99" t="s">
        <v>189</v>
      </c>
      <c r="E4" s="99"/>
      <c r="F4" s="99"/>
      <c r="G4" s="99"/>
      <c r="H4" s="99"/>
      <c r="I4" s="14"/>
      <c r="J4" s="15" t="s">
        <v>9</v>
      </c>
      <c r="K4" s="16" t="s">
        <v>10</v>
      </c>
      <c r="L4" s="100" t="s">
        <v>1</v>
      </c>
      <c r="M4" s="100"/>
      <c r="N4" s="100"/>
      <c r="O4" s="100"/>
      <c r="P4" s="15" t="s">
        <v>11</v>
      </c>
      <c r="Q4" s="100" t="s">
        <v>12</v>
      </c>
      <c r="R4" s="100"/>
      <c r="S4" s="15" t="s">
        <v>13</v>
      </c>
      <c r="T4" s="100" t="s">
        <v>190</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191</v>
      </c>
      <c r="D6" s="80"/>
      <c r="E6" s="80"/>
      <c r="F6" s="80"/>
      <c r="G6" s="80"/>
      <c r="H6" s="18"/>
      <c r="I6" s="18"/>
      <c r="J6" s="18" t="s">
        <v>18</v>
      </c>
      <c r="K6" s="80" t="s">
        <v>192</v>
      </c>
      <c r="L6" s="80"/>
      <c r="M6" s="80"/>
      <c r="N6" s="19"/>
      <c r="O6" s="20" t="s">
        <v>20</v>
      </c>
      <c r="P6" s="80" t="s">
        <v>193</v>
      </c>
      <c r="Q6" s="80"/>
      <c r="R6" s="21"/>
      <c r="S6" s="20" t="s">
        <v>22</v>
      </c>
      <c r="T6" s="80" t="s">
        <v>194</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195</v>
      </c>
      <c r="D11" s="73"/>
      <c r="E11" s="73"/>
      <c r="F11" s="73"/>
      <c r="G11" s="73"/>
      <c r="H11" s="73"/>
      <c r="I11" s="73" t="s">
        <v>196</v>
      </c>
      <c r="J11" s="73"/>
      <c r="K11" s="73"/>
      <c r="L11" s="73" t="s">
        <v>197</v>
      </c>
      <c r="M11" s="73"/>
      <c r="N11" s="73"/>
      <c r="O11" s="73"/>
      <c r="P11" s="27" t="s">
        <v>48</v>
      </c>
      <c r="Q11" s="27" t="s">
        <v>61</v>
      </c>
      <c r="R11" s="54">
        <v>0.25</v>
      </c>
      <c r="S11" s="54" t="s">
        <v>44</v>
      </c>
      <c r="T11" s="54" t="s">
        <v>44</v>
      </c>
      <c r="U11" s="28" t="str">
        <f t="shared" ref="U11:U20" si="0">IF(ISERR(T11/S11*100),"N/A",T11/S11*100)</f>
        <v>N/A</v>
      </c>
    </row>
    <row r="12" spans="1:34" ht="75" customHeight="1" x14ac:dyDescent="0.2">
      <c r="A12" s="25"/>
      <c r="B12" s="29" t="s">
        <v>45</v>
      </c>
      <c r="C12" s="72" t="s">
        <v>45</v>
      </c>
      <c r="D12" s="72"/>
      <c r="E12" s="72"/>
      <c r="F12" s="72"/>
      <c r="G12" s="72"/>
      <c r="H12" s="72"/>
      <c r="I12" s="72" t="s">
        <v>198</v>
      </c>
      <c r="J12" s="72"/>
      <c r="K12" s="72"/>
      <c r="L12" s="72" t="s">
        <v>199</v>
      </c>
      <c r="M12" s="72"/>
      <c r="N12" s="72"/>
      <c r="O12" s="72"/>
      <c r="P12" s="30" t="s">
        <v>48</v>
      </c>
      <c r="Q12" s="30" t="s">
        <v>43</v>
      </c>
      <c r="R12" s="30">
        <v>67.09</v>
      </c>
      <c r="S12" s="30" t="s">
        <v>44</v>
      </c>
      <c r="T12" s="30" t="s">
        <v>44</v>
      </c>
      <c r="U12" s="32" t="str">
        <f t="shared" si="0"/>
        <v>N/A</v>
      </c>
    </row>
    <row r="13" spans="1:34" ht="75" customHeight="1" x14ac:dyDescent="0.2">
      <c r="A13" s="25"/>
      <c r="B13" s="29" t="s">
        <v>45</v>
      </c>
      <c r="C13" s="72" t="s">
        <v>45</v>
      </c>
      <c r="D13" s="72"/>
      <c r="E13" s="72"/>
      <c r="F13" s="72"/>
      <c r="G13" s="72"/>
      <c r="H13" s="72"/>
      <c r="I13" s="72" t="s">
        <v>200</v>
      </c>
      <c r="J13" s="72"/>
      <c r="K13" s="72"/>
      <c r="L13" s="72" t="s">
        <v>201</v>
      </c>
      <c r="M13" s="72"/>
      <c r="N13" s="72"/>
      <c r="O13" s="72"/>
      <c r="P13" s="30" t="s">
        <v>48</v>
      </c>
      <c r="Q13" s="30" t="s">
        <v>139</v>
      </c>
      <c r="R13" s="30">
        <v>45.32</v>
      </c>
      <c r="S13" s="30">
        <v>42.74</v>
      </c>
      <c r="T13" s="30">
        <v>43.48</v>
      </c>
      <c r="U13" s="32">
        <f t="shared" si="0"/>
        <v>101.73139915769769</v>
      </c>
    </row>
    <row r="14" spans="1:34" ht="75" customHeight="1" thickBot="1" x14ac:dyDescent="0.25">
      <c r="A14" s="25"/>
      <c r="B14" s="29" t="s">
        <v>45</v>
      </c>
      <c r="C14" s="72" t="s">
        <v>45</v>
      </c>
      <c r="D14" s="72"/>
      <c r="E14" s="72"/>
      <c r="F14" s="72"/>
      <c r="G14" s="72"/>
      <c r="H14" s="72"/>
      <c r="I14" s="72" t="s">
        <v>202</v>
      </c>
      <c r="J14" s="72"/>
      <c r="K14" s="72"/>
      <c r="L14" s="72" t="s">
        <v>203</v>
      </c>
      <c r="M14" s="72"/>
      <c r="N14" s="72"/>
      <c r="O14" s="72"/>
      <c r="P14" s="30" t="s">
        <v>48</v>
      </c>
      <c r="Q14" s="30" t="s">
        <v>139</v>
      </c>
      <c r="R14" s="30">
        <v>42.73</v>
      </c>
      <c r="S14" s="30">
        <v>42.55</v>
      </c>
      <c r="T14" s="30">
        <v>45.25</v>
      </c>
      <c r="U14" s="32">
        <f t="shared" si="0"/>
        <v>106.3454759106933</v>
      </c>
    </row>
    <row r="15" spans="1:34" ht="75" customHeight="1" thickTop="1" thickBot="1" x14ac:dyDescent="0.25">
      <c r="A15" s="25"/>
      <c r="B15" s="26" t="s">
        <v>62</v>
      </c>
      <c r="C15" s="73" t="s">
        <v>204</v>
      </c>
      <c r="D15" s="73"/>
      <c r="E15" s="73"/>
      <c r="F15" s="73"/>
      <c r="G15" s="73"/>
      <c r="H15" s="73"/>
      <c r="I15" s="73" t="s">
        <v>205</v>
      </c>
      <c r="J15" s="73"/>
      <c r="K15" s="73"/>
      <c r="L15" s="73" t="s">
        <v>206</v>
      </c>
      <c r="M15" s="73"/>
      <c r="N15" s="73"/>
      <c r="O15" s="73"/>
      <c r="P15" s="27" t="s">
        <v>48</v>
      </c>
      <c r="Q15" s="27" t="s">
        <v>139</v>
      </c>
      <c r="R15" s="27">
        <v>65.27</v>
      </c>
      <c r="S15" s="27">
        <v>65.09</v>
      </c>
      <c r="T15" s="27">
        <v>61.64</v>
      </c>
      <c r="U15" s="28">
        <f t="shared" si="0"/>
        <v>94.699646643109531</v>
      </c>
    </row>
    <row r="16" spans="1:34" ht="75" customHeight="1" thickTop="1" x14ac:dyDescent="0.2">
      <c r="A16" s="25"/>
      <c r="B16" s="26" t="s">
        <v>71</v>
      </c>
      <c r="C16" s="73" t="s">
        <v>207</v>
      </c>
      <c r="D16" s="73"/>
      <c r="E16" s="73"/>
      <c r="F16" s="73"/>
      <c r="G16" s="73"/>
      <c r="H16" s="73"/>
      <c r="I16" s="73" t="s">
        <v>208</v>
      </c>
      <c r="J16" s="73"/>
      <c r="K16" s="73"/>
      <c r="L16" s="73" t="s">
        <v>209</v>
      </c>
      <c r="M16" s="73"/>
      <c r="N16" s="73"/>
      <c r="O16" s="73"/>
      <c r="P16" s="27" t="s">
        <v>48</v>
      </c>
      <c r="Q16" s="27" t="s">
        <v>91</v>
      </c>
      <c r="R16" s="27">
        <v>81.98</v>
      </c>
      <c r="S16" s="27">
        <v>81.900000000000006</v>
      </c>
      <c r="T16" s="27">
        <v>82.57</v>
      </c>
      <c r="U16" s="28">
        <f t="shared" si="0"/>
        <v>100.81807081807079</v>
      </c>
    </row>
    <row r="17" spans="1:22" ht="75" customHeight="1" x14ac:dyDescent="0.2">
      <c r="A17" s="25"/>
      <c r="B17" s="29" t="s">
        <v>45</v>
      </c>
      <c r="C17" s="72" t="s">
        <v>45</v>
      </c>
      <c r="D17" s="72"/>
      <c r="E17" s="72"/>
      <c r="F17" s="72"/>
      <c r="G17" s="72"/>
      <c r="H17" s="72"/>
      <c r="I17" s="72" t="s">
        <v>210</v>
      </c>
      <c r="J17" s="72"/>
      <c r="K17" s="72"/>
      <c r="L17" s="72" t="s">
        <v>211</v>
      </c>
      <c r="M17" s="72"/>
      <c r="N17" s="72"/>
      <c r="O17" s="72"/>
      <c r="P17" s="30" t="s">
        <v>212</v>
      </c>
      <c r="Q17" s="30" t="s">
        <v>61</v>
      </c>
      <c r="R17" s="30">
        <v>0.91</v>
      </c>
      <c r="S17" s="30" t="s">
        <v>44</v>
      </c>
      <c r="T17" s="30" t="s">
        <v>44</v>
      </c>
      <c r="U17" s="32" t="str">
        <f t="shared" si="0"/>
        <v>N/A</v>
      </c>
    </row>
    <row r="18" spans="1:22" ht="75" customHeight="1" thickBot="1" x14ac:dyDescent="0.25">
      <c r="A18" s="25"/>
      <c r="B18" s="29" t="s">
        <v>45</v>
      </c>
      <c r="C18" s="72" t="s">
        <v>213</v>
      </c>
      <c r="D18" s="72"/>
      <c r="E18" s="72"/>
      <c r="F18" s="72"/>
      <c r="G18" s="72"/>
      <c r="H18" s="72"/>
      <c r="I18" s="72" t="s">
        <v>214</v>
      </c>
      <c r="J18" s="72"/>
      <c r="K18" s="72"/>
      <c r="L18" s="72" t="s">
        <v>215</v>
      </c>
      <c r="M18" s="72"/>
      <c r="N18" s="72"/>
      <c r="O18" s="72"/>
      <c r="P18" s="30" t="s">
        <v>212</v>
      </c>
      <c r="Q18" s="30" t="s">
        <v>91</v>
      </c>
      <c r="R18" s="30">
        <v>0.57999999999999996</v>
      </c>
      <c r="S18" s="30">
        <v>0.5</v>
      </c>
      <c r="T18" s="30">
        <v>14.45</v>
      </c>
      <c r="U18" s="32">
        <f t="shared" si="0"/>
        <v>2890</v>
      </c>
    </row>
    <row r="19" spans="1:22" ht="75" customHeight="1" thickTop="1" x14ac:dyDescent="0.2">
      <c r="A19" s="25"/>
      <c r="B19" s="26" t="s">
        <v>87</v>
      </c>
      <c r="C19" s="73" t="s">
        <v>216</v>
      </c>
      <c r="D19" s="73"/>
      <c r="E19" s="73"/>
      <c r="F19" s="73"/>
      <c r="G19" s="73"/>
      <c r="H19" s="73"/>
      <c r="I19" s="73" t="s">
        <v>217</v>
      </c>
      <c r="J19" s="73"/>
      <c r="K19" s="73"/>
      <c r="L19" s="73" t="s">
        <v>218</v>
      </c>
      <c r="M19" s="73"/>
      <c r="N19" s="73"/>
      <c r="O19" s="73"/>
      <c r="P19" s="27" t="s">
        <v>48</v>
      </c>
      <c r="Q19" s="27" t="s">
        <v>91</v>
      </c>
      <c r="R19" s="27">
        <v>84.38</v>
      </c>
      <c r="S19" s="27">
        <v>84.38</v>
      </c>
      <c r="T19" s="27">
        <v>80</v>
      </c>
      <c r="U19" s="28">
        <f t="shared" si="0"/>
        <v>94.809196492059726</v>
      </c>
    </row>
    <row r="20" spans="1:22" ht="75" customHeight="1" thickBot="1" x14ac:dyDescent="0.25">
      <c r="A20" s="25"/>
      <c r="B20" s="29" t="s">
        <v>45</v>
      </c>
      <c r="C20" s="72" t="s">
        <v>45</v>
      </c>
      <c r="D20" s="72"/>
      <c r="E20" s="72"/>
      <c r="F20" s="72"/>
      <c r="G20" s="72"/>
      <c r="H20" s="72"/>
      <c r="I20" s="72" t="s">
        <v>219</v>
      </c>
      <c r="J20" s="72"/>
      <c r="K20" s="72"/>
      <c r="L20" s="72" t="s">
        <v>220</v>
      </c>
      <c r="M20" s="72"/>
      <c r="N20" s="72"/>
      <c r="O20" s="72"/>
      <c r="P20" s="30" t="s">
        <v>212</v>
      </c>
      <c r="Q20" s="30" t="s">
        <v>91</v>
      </c>
      <c r="R20" s="30">
        <v>2.08</v>
      </c>
      <c r="S20" s="30">
        <v>2.08</v>
      </c>
      <c r="T20" s="30">
        <v>1.78</v>
      </c>
      <c r="U20" s="32">
        <f t="shared" si="0"/>
        <v>85.576923076923066</v>
      </c>
    </row>
    <row r="21" spans="1:22" ht="22.5" customHeight="1" thickTop="1" thickBot="1" x14ac:dyDescent="0.25">
      <c r="B21" s="8" t="s">
        <v>98</v>
      </c>
      <c r="C21" s="9"/>
      <c r="D21" s="9"/>
      <c r="E21" s="9"/>
      <c r="F21" s="9"/>
      <c r="G21" s="9"/>
      <c r="H21" s="10"/>
      <c r="I21" s="10"/>
      <c r="J21" s="10"/>
      <c r="K21" s="10"/>
      <c r="L21" s="10"/>
      <c r="M21" s="10"/>
      <c r="N21" s="10"/>
      <c r="O21" s="10"/>
      <c r="P21" s="10"/>
      <c r="Q21" s="10"/>
      <c r="R21" s="10"/>
      <c r="S21" s="10"/>
      <c r="T21" s="10"/>
      <c r="U21" s="11"/>
      <c r="V21" s="33"/>
    </row>
    <row r="22" spans="1:22" ht="26.25" customHeight="1" thickTop="1" x14ac:dyDescent="0.2">
      <c r="B22" s="34"/>
      <c r="C22" s="35"/>
      <c r="D22" s="35"/>
      <c r="E22" s="35"/>
      <c r="F22" s="35"/>
      <c r="G22" s="35"/>
      <c r="H22" s="36"/>
      <c r="I22" s="36"/>
      <c r="J22" s="36"/>
      <c r="K22" s="36"/>
      <c r="L22" s="36"/>
      <c r="M22" s="36"/>
      <c r="N22" s="36"/>
      <c r="O22" s="36"/>
      <c r="P22" s="37"/>
      <c r="Q22" s="38"/>
      <c r="R22" s="39" t="s">
        <v>99</v>
      </c>
      <c r="S22" s="22" t="s">
        <v>100</v>
      </c>
      <c r="T22" s="39" t="s">
        <v>101</v>
      </c>
      <c r="U22" s="22" t="s">
        <v>102</v>
      </c>
    </row>
    <row r="23" spans="1:22" ht="26.25" customHeight="1" thickBot="1" x14ac:dyDescent="0.25">
      <c r="B23" s="40"/>
      <c r="C23" s="41"/>
      <c r="D23" s="41"/>
      <c r="E23" s="41"/>
      <c r="F23" s="41"/>
      <c r="G23" s="41"/>
      <c r="H23" s="42"/>
      <c r="I23" s="42"/>
      <c r="J23" s="42"/>
      <c r="K23" s="42"/>
      <c r="L23" s="42"/>
      <c r="M23" s="42"/>
      <c r="N23" s="42"/>
      <c r="O23" s="42"/>
      <c r="P23" s="43"/>
      <c r="Q23" s="44"/>
      <c r="R23" s="45" t="s">
        <v>103</v>
      </c>
      <c r="S23" s="44" t="s">
        <v>103</v>
      </c>
      <c r="T23" s="44" t="s">
        <v>103</v>
      </c>
      <c r="U23" s="44" t="s">
        <v>104</v>
      </c>
    </row>
    <row r="24" spans="1:22" ht="13.5" customHeight="1" thickBot="1" x14ac:dyDescent="0.25">
      <c r="B24" s="65" t="s">
        <v>105</v>
      </c>
      <c r="C24" s="66"/>
      <c r="D24" s="66"/>
      <c r="E24" s="46"/>
      <c r="F24" s="46"/>
      <c r="G24" s="46"/>
      <c r="H24" s="47"/>
      <c r="I24" s="47"/>
      <c r="J24" s="47"/>
      <c r="K24" s="47"/>
      <c r="L24" s="47"/>
      <c r="M24" s="47"/>
      <c r="N24" s="47"/>
      <c r="O24" s="47"/>
      <c r="P24" s="48"/>
      <c r="Q24" s="48"/>
      <c r="R24" s="49">
        <f>718.539898</f>
        <v>718.53989799999999</v>
      </c>
      <c r="S24" s="49">
        <f>429.386581</f>
        <v>429.38658099999998</v>
      </c>
      <c r="T24" s="49">
        <f>463.301562459999</f>
        <v>463.30156245999899</v>
      </c>
      <c r="U24" s="50">
        <f>+IF(ISERR(T24/S24*100),"N/A",T24/S24*100)</f>
        <v>107.8984726027102</v>
      </c>
    </row>
    <row r="25" spans="1:22" ht="13.5" customHeight="1" thickBot="1" x14ac:dyDescent="0.25">
      <c r="B25" s="67" t="s">
        <v>106</v>
      </c>
      <c r="C25" s="68"/>
      <c r="D25" s="68"/>
      <c r="E25" s="51"/>
      <c r="F25" s="51"/>
      <c r="G25" s="51"/>
      <c r="H25" s="52"/>
      <c r="I25" s="52"/>
      <c r="J25" s="52"/>
      <c r="K25" s="52"/>
      <c r="L25" s="52"/>
      <c r="M25" s="52"/>
      <c r="N25" s="52"/>
      <c r="O25" s="52"/>
      <c r="P25" s="53"/>
      <c r="Q25" s="53"/>
      <c r="R25" s="49">
        <f>671.096601</f>
        <v>671.09660099999996</v>
      </c>
      <c r="S25" s="49">
        <f>482.684439</f>
        <v>482.684439</v>
      </c>
      <c r="T25" s="49">
        <f>463.301562459999</f>
        <v>463.30156245999899</v>
      </c>
      <c r="U25" s="50">
        <f>+IF(ISERR(T25/S25*100),"N/A",T25/S25*100)</f>
        <v>95.984358522069329</v>
      </c>
    </row>
    <row r="26" spans="1:22" ht="14.85" customHeight="1" thickTop="1" thickBot="1" x14ac:dyDescent="0.25">
      <c r="B26" s="8" t="s">
        <v>107</v>
      </c>
      <c r="C26" s="9"/>
      <c r="D26" s="9"/>
      <c r="E26" s="9"/>
      <c r="F26" s="9"/>
      <c r="G26" s="9"/>
      <c r="H26" s="10"/>
      <c r="I26" s="10"/>
      <c r="J26" s="10"/>
      <c r="K26" s="10"/>
      <c r="L26" s="10"/>
      <c r="M26" s="10"/>
      <c r="N26" s="10"/>
      <c r="O26" s="10"/>
      <c r="P26" s="10"/>
      <c r="Q26" s="10"/>
      <c r="R26" s="10"/>
      <c r="S26" s="10"/>
      <c r="T26" s="10"/>
      <c r="U26" s="11"/>
    </row>
    <row r="27" spans="1:22" ht="44.25" customHeight="1" thickTop="1" x14ac:dyDescent="0.2">
      <c r="B27" s="69" t="s">
        <v>108</v>
      </c>
      <c r="C27" s="70"/>
      <c r="D27" s="70"/>
      <c r="E27" s="70"/>
      <c r="F27" s="70"/>
      <c r="G27" s="70"/>
      <c r="H27" s="70"/>
      <c r="I27" s="70"/>
      <c r="J27" s="70"/>
      <c r="K27" s="70"/>
      <c r="L27" s="70"/>
      <c r="M27" s="70"/>
      <c r="N27" s="70"/>
      <c r="O27" s="70"/>
      <c r="P27" s="70"/>
      <c r="Q27" s="70"/>
      <c r="R27" s="70"/>
      <c r="S27" s="70"/>
      <c r="T27" s="70"/>
      <c r="U27" s="71"/>
    </row>
    <row r="28" spans="1:22" ht="16.350000000000001" customHeight="1" x14ac:dyDescent="0.2">
      <c r="B28" s="59" t="s">
        <v>221</v>
      </c>
      <c r="C28" s="60"/>
      <c r="D28" s="60"/>
      <c r="E28" s="60"/>
      <c r="F28" s="60"/>
      <c r="G28" s="60"/>
      <c r="H28" s="60"/>
      <c r="I28" s="60"/>
      <c r="J28" s="60"/>
      <c r="K28" s="60"/>
      <c r="L28" s="60"/>
      <c r="M28" s="60"/>
      <c r="N28" s="60"/>
      <c r="O28" s="60"/>
      <c r="P28" s="60"/>
      <c r="Q28" s="60"/>
      <c r="R28" s="60"/>
      <c r="S28" s="60"/>
      <c r="T28" s="60"/>
      <c r="U28" s="61"/>
    </row>
    <row r="29" spans="1:22" ht="34.5" customHeight="1" x14ac:dyDescent="0.2">
      <c r="B29" s="59" t="s">
        <v>222</v>
      </c>
      <c r="C29" s="60"/>
      <c r="D29" s="60"/>
      <c r="E29" s="60"/>
      <c r="F29" s="60"/>
      <c r="G29" s="60"/>
      <c r="H29" s="60"/>
      <c r="I29" s="60"/>
      <c r="J29" s="60"/>
      <c r="K29" s="60"/>
      <c r="L29" s="60"/>
      <c r="M29" s="60"/>
      <c r="N29" s="60"/>
      <c r="O29" s="60"/>
      <c r="P29" s="60"/>
      <c r="Q29" s="60"/>
      <c r="R29" s="60"/>
      <c r="S29" s="60"/>
      <c r="T29" s="60"/>
      <c r="U29" s="61"/>
    </row>
    <row r="30" spans="1:22" ht="143.44999999999999" customHeight="1" x14ac:dyDescent="0.2">
      <c r="B30" s="59" t="s">
        <v>223</v>
      </c>
      <c r="C30" s="60"/>
      <c r="D30" s="60"/>
      <c r="E30" s="60"/>
      <c r="F30" s="60"/>
      <c r="G30" s="60"/>
      <c r="H30" s="60"/>
      <c r="I30" s="60"/>
      <c r="J30" s="60"/>
      <c r="K30" s="60"/>
      <c r="L30" s="60"/>
      <c r="M30" s="60"/>
      <c r="N30" s="60"/>
      <c r="O30" s="60"/>
      <c r="P30" s="60"/>
      <c r="Q30" s="60"/>
      <c r="R30" s="60"/>
      <c r="S30" s="60"/>
      <c r="T30" s="60"/>
      <c r="U30" s="61"/>
    </row>
    <row r="31" spans="1:22" ht="96.95" customHeight="1" x14ac:dyDescent="0.2">
      <c r="B31" s="59" t="s">
        <v>224</v>
      </c>
      <c r="C31" s="60"/>
      <c r="D31" s="60"/>
      <c r="E31" s="60"/>
      <c r="F31" s="60"/>
      <c r="G31" s="60"/>
      <c r="H31" s="60"/>
      <c r="I31" s="60"/>
      <c r="J31" s="60"/>
      <c r="K31" s="60"/>
      <c r="L31" s="60"/>
      <c r="M31" s="60"/>
      <c r="N31" s="60"/>
      <c r="O31" s="60"/>
      <c r="P31" s="60"/>
      <c r="Q31" s="60"/>
      <c r="R31" s="60"/>
      <c r="S31" s="60"/>
      <c r="T31" s="60"/>
      <c r="U31" s="61"/>
    </row>
    <row r="32" spans="1:22" ht="125.85" customHeight="1" x14ac:dyDescent="0.2">
      <c r="B32" s="59" t="s">
        <v>225</v>
      </c>
      <c r="C32" s="60"/>
      <c r="D32" s="60"/>
      <c r="E32" s="60"/>
      <c r="F32" s="60"/>
      <c r="G32" s="60"/>
      <c r="H32" s="60"/>
      <c r="I32" s="60"/>
      <c r="J32" s="60"/>
      <c r="K32" s="60"/>
      <c r="L32" s="60"/>
      <c r="M32" s="60"/>
      <c r="N32" s="60"/>
      <c r="O32" s="60"/>
      <c r="P32" s="60"/>
      <c r="Q32" s="60"/>
      <c r="R32" s="60"/>
      <c r="S32" s="60"/>
      <c r="T32" s="60"/>
      <c r="U32" s="61"/>
    </row>
    <row r="33" spans="2:21" ht="104.85" customHeight="1" x14ac:dyDescent="0.2">
      <c r="B33" s="59" t="s">
        <v>226</v>
      </c>
      <c r="C33" s="60"/>
      <c r="D33" s="60"/>
      <c r="E33" s="60"/>
      <c r="F33" s="60"/>
      <c r="G33" s="60"/>
      <c r="H33" s="60"/>
      <c r="I33" s="60"/>
      <c r="J33" s="60"/>
      <c r="K33" s="60"/>
      <c r="L33" s="60"/>
      <c r="M33" s="60"/>
      <c r="N33" s="60"/>
      <c r="O33" s="60"/>
      <c r="P33" s="60"/>
      <c r="Q33" s="60"/>
      <c r="R33" s="60"/>
      <c r="S33" s="60"/>
      <c r="T33" s="60"/>
      <c r="U33" s="61"/>
    </row>
    <row r="34" spans="2:21" ht="34.5" customHeight="1" x14ac:dyDescent="0.2">
      <c r="B34" s="59" t="s">
        <v>227</v>
      </c>
      <c r="C34" s="60"/>
      <c r="D34" s="60"/>
      <c r="E34" s="60"/>
      <c r="F34" s="60"/>
      <c r="G34" s="60"/>
      <c r="H34" s="60"/>
      <c r="I34" s="60"/>
      <c r="J34" s="60"/>
      <c r="K34" s="60"/>
      <c r="L34" s="60"/>
      <c r="M34" s="60"/>
      <c r="N34" s="60"/>
      <c r="O34" s="60"/>
      <c r="P34" s="60"/>
      <c r="Q34" s="60"/>
      <c r="R34" s="60"/>
      <c r="S34" s="60"/>
      <c r="T34" s="60"/>
      <c r="U34" s="61"/>
    </row>
    <row r="35" spans="2:21" ht="122.1" customHeight="1" x14ac:dyDescent="0.2">
      <c r="B35" s="59" t="s">
        <v>228</v>
      </c>
      <c r="C35" s="60"/>
      <c r="D35" s="60"/>
      <c r="E35" s="60"/>
      <c r="F35" s="60"/>
      <c r="G35" s="60"/>
      <c r="H35" s="60"/>
      <c r="I35" s="60"/>
      <c r="J35" s="60"/>
      <c r="K35" s="60"/>
      <c r="L35" s="60"/>
      <c r="M35" s="60"/>
      <c r="N35" s="60"/>
      <c r="O35" s="60"/>
      <c r="P35" s="60"/>
      <c r="Q35" s="60"/>
      <c r="R35" s="60"/>
      <c r="S35" s="60"/>
      <c r="T35" s="60"/>
      <c r="U35" s="61"/>
    </row>
    <row r="36" spans="2:21" ht="92.85" customHeight="1" x14ac:dyDescent="0.2">
      <c r="B36" s="59" t="s">
        <v>229</v>
      </c>
      <c r="C36" s="60"/>
      <c r="D36" s="60"/>
      <c r="E36" s="60"/>
      <c r="F36" s="60"/>
      <c r="G36" s="60"/>
      <c r="H36" s="60"/>
      <c r="I36" s="60"/>
      <c r="J36" s="60"/>
      <c r="K36" s="60"/>
      <c r="L36" s="60"/>
      <c r="M36" s="60"/>
      <c r="N36" s="60"/>
      <c r="O36" s="60"/>
      <c r="P36" s="60"/>
      <c r="Q36" s="60"/>
      <c r="R36" s="60"/>
      <c r="S36" s="60"/>
      <c r="T36" s="60"/>
      <c r="U36" s="61"/>
    </row>
    <row r="37" spans="2:21" ht="90.95" customHeight="1" thickBot="1" x14ac:dyDescent="0.25">
      <c r="B37" s="62" t="s">
        <v>230</v>
      </c>
      <c r="C37" s="63"/>
      <c r="D37" s="63"/>
      <c r="E37" s="63"/>
      <c r="F37" s="63"/>
      <c r="G37" s="63"/>
      <c r="H37" s="63"/>
      <c r="I37" s="63"/>
      <c r="J37" s="63"/>
      <c r="K37" s="63"/>
      <c r="L37" s="63"/>
      <c r="M37" s="63"/>
      <c r="N37" s="63"/>
      <c r="O37" s="63"/>
      <c r="P37" s="63"/>
      <c r="Q37" s="63"/>
      <c r="R37" s="63"/>
      <c r="S37" s="63"/>
      <c r="T37" s="63"/>
      <c r="U37" s="64"/>
    </row>
  </sheetData>
  <mergeCells count="6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B27:U27"/>
    <mergeCell ref="C18:H18"/>
    <mergeCell ref="I18:K18"/>
    <mergeCell ref="L18:O18"/>
    <mergeCell ref="C19:H19"/>
    <mergeCell ref="I19:K19"/>
    <mergeCell ref="L19:O19"/>
    <mergeCell ref="C20:H20"/>
    <mergeCell ref="I20:K20"/>
    <mergeCell ref="L20:O20"/>
    <mergeCell ref="B24:D24"/>
    <mergeCell ref="B25:D25"/>
    <mergeCell ref="B34:U34"/>
    <mergeCell ref="B35:U35"/>
    <mergeCell ref="B36:U36"/>
    <mergeCell ref="B37:U37"/>
    <mergeCell ref="B28:U28"/>
    <mergeCell ref="B29:U29"/>
    <mergeCell ref="B30:U30"/>
    <mergeCell ref="B31:U31"/>
    <mergeCell ref="B32:U32"/>
    <mergeCell ref="B33:U33"/>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231</v>
      </c>
      <c r="D4" s="99" t="s">
        <v>232</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233</v>
      </c>
      <c r="Q6" s="80"/>
      <c r="R6" s="21"/>
      <c r="S6" s="20" t="s">
        <v>22</v>
      </c>
      <c r="T6" s="80" t="s">
        <v>234</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235</v>
      </c>
      <c r="D11" s="73"/>
      <c r="E11" s="73"/>
      <c r="F11" s="73"/>
      <c r="G11" s="73"/>
      <c r="H11" s="73"/>
      <c r="I11" s="73" t="s">
        <v>236</v>
      </c>
      <c r="J11" s="73"/>
      <c r="K11" s="73"/>
      <c r="L11" s="73" t="s">
        <v>237</v>
      </c>
      <c r="M11" s="73"/>
      <c r="N11" s="73"/>
      <c r="O11" s="73"/>
      <c r="P11" s="27" t="s">
        <v>48</v>
      </c>
      <c r="Q11" s="27" t="s">
        <v>49</v>
      </c>
      <c r="R11" s="54">
        <v>80</v>
      </c>
      <c r="S11" s="54" t="s">
        <v>44</v>
      </c>
      <c r="T11" s="54" t="s">
        <v>44</v>
      </c>
      <c r="U11" s="28" t="str">
        <f>IF(ISERR(T11/S11*100),"N/A",T11/S11*100)</f>
        <v>N/A</v>
      </c>
    </row>
    <row r="12" spans="1:34" ht="75" customHeight="1" thickBot="1" x14ac:dyDescent="0.25">
      <c r="A12" s="25"/>
      <c r="B12" s="29" t="s">
        <v>45</v>
      </c>
      <c r="C12" s="72" t="s">
        <v>45</v>
      </c>
      <c r="D12" s="72"/>
      <c r="E12" s="72"/>
      <c r="F12" s="72"/>
      <c r="G12" s="72"/>
      <c r="H12" s="72"/>
      <c r="I12" s="72" t="s">
        <v>238</v>
      </c>
      <c r="J12" s="72"/>
      <c r="K12" s="72"/>
      <c r="L12" s="72" t="s">
        <v>239</v>
      </c>
      <c r="M12" s="72"/>
      <c r="N12" s="72"/>
      <c r="O12" s="72"/>
      <c r="P12" s="30" t="s">
        <v>48</v>
      </c>
      <c r="Q12" s="30" t="s">
        <v>75</v>
      </c>
      <c r="R12" s="30">
        <v>5.55</v>
      </c>
      <c r="S12" s="30" t="s">
        <v>44</v>
      </c>
      <c r="T12" s="30" t="s">
        <v>44</v>
      </c>
      <c r="U12" s="32" t="str">
        <f>IF(ISERR(T12/S12*100),"N/A",T12/S12*100)</f>
        <v>N/A</v>
      </c>
    </row>
    <row r="13" spans="1:34" ht="75" customHeight="1" thickTop="1" thickBot="1" x14ac:dyDescent="0.25">
      <c r="A13" s="25"/>
      <c r="B13" s="26" t="s">
        <v>62</v>
      </c>
      <c r="C13" s="73" t="s">
        <v>240</v>
      </c>
      <c r="D13" s="73"/>
      <c r="E13" s="73"/>
      <c r="F13" s="73"/>
      <c r="G13" s="73"/>
      <c r="H13" s="73"/>
      <c r="I13" s="73" t="s">
        <v>241</v>
      </c>
      <c r="J13" s="73"/>
      <c r="K13" s="73"/>
      <c r="L13" s="73" t="s">
        <v>242</v>
      </c>
      <c r="M13" s="73"/>
      <c r="N13" s="73"/>
      <c r="O13" s="73"/>
      <c r="P13" s="27" t="s">
        <v>48</v>
      </c>
      <c r="Q13" s="27" t="s">
        <v>75</v>
      </c>
      <c r="R13" s="27">
        <v>18.850000000000001</v>
      </c>
      <c r="S13" s="27" t="s">
        <v>44</v>
      </c>
      <c r="T13" s="27" t="s">
        <v>44</v>
      </c>
      <c r="U13" s="28" t="str">
        <f>IF(ISERR(T13/S13*100),"N/A",T13/S13*100)</f>
        <v>N/A</v>
      </c>
    </row>
    <row r="14" spans="1:34" ht="75" customHeight="1" thickTop="1" x14ac:dyDescent="0.2">
      <c r="A14" s="25"/>
      <c r="B14" s="26" t="s">
        <v>71</v>
      </c>
      <c r="C14" s="73" t="s">
        <v>243</v>
      </c>
      <c r="D14" s="73"/>
      <c r="E14" s="73"/>
      <c r="F14" s="73"/>
      <c r="G14" s="73"/>
      <c r="H14" s="73"/>
      <c r="I14" s="73" t="s">
        <v>244</v>
      </c>
      <c r="J14" s="73"/>
      <c r="K14" s="73"/>
      <c r="L14" s="73" t="s">
        <v>245</v>
      </c>
      <c r="M14" s="73"/>
      <c r="N14" s="73"/>
      <c r="O14" s="73"/>
      <c r="P14" s="27" t="s">
        <v>246</v>
      </c>
      <c r="Q14" s="27" t="s">
        <v>75</v>
      </c>
      <c r="R14" s="27">
        <v>30</v>
      </c>
      <c r="S14" s="27" t="s">
        <v>44</v>
      </c>
      <c r="T14" s="27" t="s">
        <v>44</v>
      </c>
      <c r="U14" s="28" t="str">
        <f>IF(ISERR((S14-T14)*100/S14+100),"N/A",(S14-T14)*100/S14+100)</f>
        <v>N/A</v>
      </c>
    </row>
    <row r="15" spans="1:34" ht="75" customHeight="1" x14ac:dyDescent="0.2">
      <c r="A15" s="25"/>
      <c r="B15" s="29" t="s">
        <v>45</v>
      </c>
      <c r="C15" s="72" t="s">
        <v>45</v>
      </c>
      <c r="D15" s="72"/>
      <c r="E15" s="72"/>
      <c r="F15" s="72"/>
      <c r="G15" s="72"/>
      <c r="H15" s="72"/>
      <c r="I15" s="72" t="s">
        <v>247</v>
      </c>
      <c r="J15" s="72"/>
      <c r="K15" s="72"/>
      <c r="L15" s="72" t="s">
        <v>248</v>
      </c>
      <c r="M15" s="72"/>
      <c r="N15" s="72"/>
      <c r="O15" s="72"/>
      <c r="P15" s="30" t="s">
        <v>48</v>
      </c>
      <c r="Q15" s="30" t="s">
        <v>249</v>
      </c>
      <c r="R15" s="30">
        <v>93.97</v>
      </c>
      <c r="S15" s="30" t="s">
        <v>44</v>
      </c>
      <c r="T15" s="30" t="s">
        <v>44</v>
      </c>
      <c r="U15" s="32" t="str">
        <f>IF(ISERR(T15/S15*100),"N/A",T15/S15*100)</f>
        <v>N/A</v>
      </c>
    </row>
    <row r="16" spans="1:34" ht="75" customHeight="1" x14ac:dyDescent="0.2">
      <c r="A16" s="25"/>
      <c r="B16" s="29" t="s">
        <v>45</v>
      </c>
      <c r="C16" s="72" t="s">
        <v>250</v>
      </c>
      <c r="D16" s="72"/>
      <c r="E16" s="72"/>
      <c r="F16" s="72"/>
      <c r="G16" s="72"/>
      <c r="H16" s="72"/>
      <c r="I16" s="72" t="s">
        <v>251</v>
      </c>
      <c r="J16" s="72"/>
      <c r="K16" s="72"/>
      <c r="L16" s="72" t="s">
        <v>252</v>
      </c>
      <c r="M16" s="72"/>
      <c r="N16" s="72"/>
      <c r="O16" s="72"/>
      <c r="P16" s="30" t="s">
        <v>48</v>
      </c>
      <c r="Q16" s="30" t="s">
        <v>75</v>
      </c>
      <c r="R16" s="30">
        <v>10.78</v>
      </c>
      <c r="S16" s="30" t="s">
        <v>44</v>
      </c>
      <c r="T16" s="30" t="s">
        <v>44</v>
      </c>
      <c r="U16" s="32" t="str">
        <f>IF(ISERR(T16/S16*100),"N/A",T16/S16*100)</f>
        <v>N/A</v>
      </c>
    </row>
    <row r="17" spans="1:22" ht="75" customHeight="1" thickBot="1" x14ac:dyDescent="0.25">
      <c r="A17" s="25"/>
      <c r="B17" s="29" t="s">
        <v>45</v>
      </c>
      <c r="C17" s="72" t="s">
        <v>45</v>
      </c>
      <c r="D17" s="72"/>
      <c r="E17" s="72"/>
      <c r="F17" s="72"/>
      <c r="G17" s="72"/>
      <c r="H17" s="72"/>
      <c r="I17" s="72" t="s">
        <v>253</v>
      </c>
      <c r="J17" s="72"/>
      <c r="K17" s="72"/>
      <c r="L17" s="72" t="s">
        <v>254</v>
      </c>
      <c r="M17" s="72"/>
      <c r="N17" s="72"/>
      <c r="O17" s="72"/>
      <c r="P17" s="30" t="s">
        <v>48</v>
      </c>
      <c r="Q17" s="30" t="s">
        <v>75</v>
      </c>
      <c r="R17" s="30">
        <v>8.49</v>
      </c>
      <c r="S17" s="30" t="s">
        <v>44</v>
      </c>
      <c r="T17" s="30" t="s">
        <v>44</v>
      </c>
      <c r="U17" s="32" t="str">
        <f>IF(ISERR(T17/S17*100),"N/A",T17/S17*100)</f>
        <v>N/A</v>
      </c>
    </row>
    <row r="18" spans="1:22" ht="75" customHeight="1" thickTop="1" x14ac:dyDescent="0.2">
      <c r="A18" s="25"/>
      <c r="B18" s="26" t="s">
        <v>87</v>
      </c>
      <c r="C18" s="73" t="s">
        <v>255</v>
      </c>
      <c r="D18" s="73"/>
      <c r="E18" s="73"/>
      <c r="F18" s="73"/>
      <c r="G18" s="73"/>
      <c r="H18" s="73"/>
      <c r="I18" s="73" t="s">
        <v>256</v>
      </c>
      <c r="J18" s="73"/>
      <c r="K18" s="73"/>
      <c r="L18" s="73" t="s">
        <v>257</v>
      </c>
      <c r="M18" s="73"/>
      <c r="N18" s="73"/>
      <c r="O18" s="73"/>
      <c r="P18" s="27" t="s">
        <v>48</v>
      </c>
      <c r="Q18" s="27" t="s">
        <v>258</v>
      </c>
      <c r="R18" s="27">
        <v>86.84</v>
      </c>
      <c r="S18" s="27" t="s">
        <v>44</v>
      </c>
      <c r="T18" s="27" t="s">
        <v>44</v>
      </c>
      <c r="U18" s="28" t="str">
        <f>IF(ISERR(T18/S18*100),"N/A",T18/S18*100)</f>
        <v>N/A</v>
      </c>
    </row>
    <row r="19" spans="1:22" ht="75" customHeight="1" thickBot="1" x14ac:dyDescent="0.25">
      <c r="A19" s="25"/>
      <c r="B19" s="29" t="s">
        <v>45</v>
      </c>
      <c r="C19" s="72" t="s">
        <v>259</v>
      </c>
      <c r="D19" s="72"/>
      <c r="E19" s="72"/>
      <c r="F19" s="72"/>
      <c r="G19" s="72"/>
      <c r="H19" s="72"/>
      <c r="I19" s="72" t="s">
        <v>260</v>
      </c>
      <c r="J19" s="72"/>
      <c r="K19" s="72"/>
      <c r="L19" s="72" t="s">
        <v>261</v>
      </c>
      <c r="M19" s="72"/>
      <c r="N19" s="72"/>
      <c r="O19" s="72"/>
      <c r="P19" s="30" t="s">
        <v>48</v>
      </c>
      <c r="Q19" s="30" t="s">
        <v>258</v>
      </c>
      <c r="R19" s="30">
        <v>90.5</v>
      </c>
      <c r="S19" s="30" t="s">
        <v>44</v>
      </c>
      <c r="T19" s="30" t="s">
        <v>44</v>
      </c>
      <c r="U19" s="32" t="str">
        <f>IF(ISERR(T19/S19*100),"N/A",T19/S19*100)</f>
        <v>N/A</v>
      </c>
    </row>
    <row r="20" spans="1:22" ht="22.5" customHeight="1" thickTop="1" thickBot="1" x14ac:dyDescent="0.25">
      <c r="B20" s="8" t="s">
        <v>98</v>
      </c>
      <c r="C20" s="9"/>
      <c r="D20" s="9"/>
      <c r="E20" s="9"/>
      <c r="F20" s="9"/>
      <c r="G20" s="9"/>
      <c r="H20" s="10"/>
      <c r="I20" s="10"/>
      <c r="J20" s="10"/>
      <c r="K20" s="10"/>
      <c r="L20" s="10"/>
      <c r="M20" s="10"/>
      <c r="N20" s="10"/>
      <c r="O20" s="10"/>
      <c r="P20" s="10"/>
      <c r="Q20" s="10"/>
      <c r="R20" s="10"/>
      <c r="S20" s="10"/>
      <c r="T20" s="10"/>
      <c r="U20" s="11"/>
      <c r="V20" s="33"/>
    </row>
    <row r="21" spans="1:22" ht="26.25" customHeight="1" thickTop="1" x14ac:dyDescent="0.2">
      <c r="B21" s="34"/>
      <c r="C21" s="35"/>
      <c r="D21" s="35"/>
      <c r="E21" s="35"/>
      <c r="F21" s="35"/>
      <c r="G21" s="35"/>
      <c r="H21" s="36"/>
      <c r="I21" s="36"/>
      <c r="J21" s="36"/>
      <c r="K21" s="36"/>
      <c r="L21" s="36"/>
      <c r="M21" s="36"/>
      <c r="N21" s="36"/>
      <c r="O21" s="36"/>
      <c r="P21" s="37"/>
      <c r="Q21" s="38"/>
      <c r="R21" s="39" t="s">
        <v>99</v>
      </c>
      <c r="S21" s="22" t="s">
        <v>100</v>
      </c>
      <c r="T21" s="39" t="s">
        <v>101</v>
      </c>
      <c r="U21" s="22" t="s">
        <v>102</v>
      </c>
    </row>
    <row r="22" spans="1:22" ht="26.25" customHeight="1" thickBot="1" x14ac:dyDescent="0.25">
      <c r="B22" s="40"/>
      <c r="C22" s="41"/>
      <c r="D22" s="41"/>
      <c r="E22" s="41"/>
      <c r="F22" s="41"/>
      <c r="G22" s="41"/>
      <c r="H22" s="42"/>
      <c r="I22" s="42"/>
      <c r="J22" s="42"/>
      <c r="K22" s="42"/>
      <c r="L22" s="42"/>
      <c r="M22" s="42"/>
      <c r="N22" s="42"/>
      <c r="O22" s="42"/>
      <c r="P22" s="43"/>
      <c r="Q22" s="44"/>
      <c r="R22" s="45" t="s">
        <v>103</v>
      </c>
      <c r="S22" s="44" t="s">
        <v>103</v>
      </c>
      <c r="T22" s="44" t="s">
        <v>103</v>
      </c>
      <c r="U22" s="44" t="s">
        <v>104</v>
      </c>
    </row>
    <row r="23" spans="1:22" ht="13.5" customHeight="1" thickBot="1" x14ac:dyDescent="0.25">
      <c r="B23" s="65" t="s">
        <v>105</v>
      </c>
      <c r="C23" s="66"/>
      <c r="D23" s="66"/>
      <c r="E23" s="46"/>
      <c r="F23" s="46"/>
      <c r="G23" s="46"/>
      <c r="H23" s="47"/>
      <c r="I23" s="47"/>
      <c r="J23" s="47"/>
      <c r="K23" s="47"/>
      <c r="L23" s="47"/>
      <c r="M23" s="47"/>
      <c r="N23" s="47"/>
      <c r="O23" s="47"/>
      <c r="P23" s="48"/>
      <c r="Q23" s="48"/>
      <c r="R23" s="49">
        <f>6122.728558</f>
        <v>6122.7285579999998</v>
      </c>
      <c r="S23" s="49">
        <f>4235.233341</f>
        <v>4235.2333410000001</v>
      </c>
      <c r="T23" s="49">
        <f>4041.29338728</f>
        <v>4041.2933872799999</v>
      </c>
      <c r="U23" s="50">
        <f>+IF(ISERR(T23/S23*100),"N/A",T23/S23*100)</f>
        <v>95.420796492072185</v>
      </c>
    </row>
    <row r="24" spans="1:22" ht="13.5" customHeight="1" thickBot="1" x14ac:dyDescent="0.25">
      <c r="B24" s="67" t="s">
        <v>106</v>
      </c>
      <c r="C24" s="68"/>
      <c r="D24" s="68"/>
      <c r="E24" s="51"/>
      <c r="F24" s="51"/>
      <c r="G24" s="51"/>
      <c r="H24" s="52"/>
      <c r="I24" s="52"/>
      <c r="J24" s="52"/>
      <c r="K24" s="52"/>
      <c r="L24" s="52"/>
      <c r="M24" s="52"/>
      <c r="N24" s="52"/>
      <c r="O24" s="52"/>
      <c r="P24" s="53"/>
      <c r="Q24" s="53"/>
      <c r="R24" s="49">
        <f>5786.661621</f>
        <v>5786.6616210000002</v>
      </c>
      <c r="S24" s="49">
        <f>4080.364864</f>
        <v>4080.3648640000001</v>
      </c>
      <c r="T24" s="49">
        <f>4041.29338728</f>
        <v>4041.2933872799999</v>
      </c>
      <c r="U24" s="50">
        <f>+IF(ISERR(T24/S24*100),"N/A",T24/S24*100)</f>
        <v>99.04245139779735</v>
      </c>
    </row>
    <row r="25" spans="1:22" ht="14.85" customHeight="1" thickTop="1" thickBot="1" x14ac:dyDescent="0.25">
      <c r="B25" s="8" t="s">
        <v>107</v>
      </c>
      <c r="C25" s="9"/>
      <c r="D25" s="9"/>
      <c r="E25" s="9"/>
      <c r="F25" s="9"/>
      <c r="G25" s="9"/>
      <c r="H25" s="10"/>
      <c r="I25" s="10"/>
      <c r="J25" s="10"/>
      <c r="K25" s="10"/>
      <c r="L25" s="10"/>
      <c r="M25" s="10"/>
      <c r="N25" s="10"/>
      <c r="O25" s="10"/>
      <c r="P25" s="10"/>
      <c r="Q25" s="10"/>
      <c r="R25" s="10"/>
      <c r="S25" s="10"/>
      <c r="T25" s="10"/>
      <c r="U25" s="11"/>
    </row>
    <row r="26" spans="1:22" ht="44.25" customHeight="1" thickTop="1" x14ac:dyDescent="0.2">
      <c r="B26" s="69" t="s">
        <v>108</v>
      </c>
      <c r="C26" s="70"/>
      <c r="D26" s="70"/>
      <c r="E26" s="70"/>
      <c r="F26" s="70"/>
      <c r="G26" s="70"/>
      <c r="H26" s="70"/>
      <c r="I26" s="70"/>
      <c r="J26" s="70"/>
      <c r="K26" s="70"/>
      <c r="L26" s="70"/>
      <c r="M26" s="70"/>
      <c r="N26" s="70"/>
      <c r="O26" s="70"/>
      <c r="P26" s="70"/>
      <c r="Q26" s="70"/>
      <c r="R26" s="70"/>
      <c r="S26" s="70"/>
      <c r="T26" s="70"/>
      <c r="U26" s="71"/>
    </row>
    <row r="27" spans="1:22" ht="34.5" customHeight="1" x14ac:dyDescent="0.2">
      <c r="B27" s="59" t="s">
        <v>262</v>
      </c>
      <c r="C27" s="60"/>
      <c r="D27" s="60"/>
      <c r="E27" s="60"/>
      <c r="F27" s="60"/>
      <c r="G27" s="60"/>
      <c r="H27" s="60"/>
      <c r="I27" s="60"/>
      <c r="J27" s="60"/>
      <c r="K27" s="60"/>
      <c r="L27" s="60"/>
      <c r="M27" s="60"/>
      <c r="N27" s="60"/>
      <c r="O27" s="60"/>
      <c r="P27" s="60"/>
      <c r="Q27" s="60"/>
      <c r="R27" s="60"/>
      <c r="S27" s="60"/>
      <c r="T27" s="60"/>
      <c r="U27" s="61"/>
    </row>
    <row r="28" spans="1:22" ht="34.5" customHeight="1" x14ac:dyDescent="0.2">
      <c r="B28" s="59" t="s">
        <v>263</v>
      </c>
      <c r="C28" s="60"/>
      <c r="D28" s="60"/>
      <c r="E28" s="60"/>
      <c r="F28" s="60"/>
      <c r="G28" s="60"/>
      <c r="H28" s="60"/>
      <c r="I28" s="60"/>
      <c r="J28" s="60"/>
      <c r="K28" s="60"/>
      <c r="L28" s="60"/>
      <c r="M28" s="60"/>
      <c r="N28" s="60"/>
      <c r="O28" s="60"/>
      <c r="P28" s="60"/>
      <c r="Q28" s="60"/>
      <c r="R28" s="60"/>
      <c r="S28" s="60"/>
      <c r="T28" s="60"/>
      <c r="U28" s="61"/>
    </row>
    <row r="29" spans="1:22" ht="34.5" customHeight="1" x14ac:dyDescent="0.2">
      <c r="B29" s="59" t="s">
        <v>264</v>
      </c>
      <c r="C29" s="60"/>
      <c r="D29" s="60"/>
      <c r="E29" s="60"/>
      <c r="F29" s="60"/>
      <c r="G29" s="60"/>
      <c r="H29" s="60"/>
      <c r="I29" s="60"/>
      <c r="J29" s="60"/>
      <c r="K29" s="60"/>
      <c r="L29" s="60"/>
      <c r="M29" s="60"/>
      <c r="N29" s="60"/>
      <c r="O29" s="60"/>
      <c r="P29" s="60"/>
      <c r="Q29" s="60"/>
      <c r="R29" s="60"/>
      <c r="S29" s="60"/>
      <c r="T29" s="60"/>
      <c r="U29" s="61"/>
    </row>
    <row r="30" spans="1:22" ht="34.5" customHeight="1" x14ac:dyDescent="0.2">
      <c r="B30" s="59" t="s">
        <v>265</v>
      </c>
      <c r="C30" s="60"/>
      <c r="D30" s="60"/>
      <c r="E30" s="60"/>
      <c r="F30" s="60"/>
      <c r="G30" s="60"/>
      <c r="H30" s="60"/>
      <c r="I30" s="60"/>
      <c r="J30" s="60"/>
      <c r="K30" s="60"/>
      <c r="L30" s="60"/>
      <c r="M30" s="60"/>
      <c r="N30" s="60"/>
      <c r="O30" s="60"/>
      <c r="P30" s="60"/>
      <c r="Q30" s="60"/>
      <c r="R30" s="60"/>
      <c r="S30" s="60"/>
      <c r="T30" s="60"/>
      <c r="U30" s="61"/>
    </row>
    <row r="31" spans="1:22" ht="34.5" customHeight="1" x14ac:dyDescent="0.2">
      <c r="B31" s="59" t="s">
        <v>266</v>
      </c>
      <c r="C31" s="60"/>
      <c r="D31" s="60"/>
      <c r="E31" s="60"/>
      <c r="F31" s="60"/>
      <c r="G31" s="60"/>
      <c r="H31" s="60"/>
      <c r="I31" s="60"/>
      <c r="J31" s="60"/>
      <c r="K31" s="60"/>
      <c r="L31" s="60"/>
      <c r="M31" s="60"/>
      <c r="N31" s="60"/>
      <c r="O31" s="60"/>
      <c r="P31" s="60"/>
      <c r="Q31" s="60"/>
      <c r="R31" s="60"/>
      <c r="S31" s="60"/>
      <c r="T31" s="60"/>
      <c r="U31" s="61"/>
    </row>
    <row r="32" spans="1:22" ht="34.5" customHeight="1" x14ac:dyDescent="0.2">
      <c r="B32" s="59" t="s">
        <v>267</v>
      </c>
      <c r="C32" s="60"/>
      <c r="D32" s="60"/>
      <c r="E32" s="60"/>
      <c r="F32" s="60"/>
      <c r="G32" s="60"/>
      <c r="H32" s="60"/>
      <c r="I32" s="60"/>
      <c r="J32" s="60"/>
      <c r="K32" s="60"/>
      <c r="L32" s="60"/>
      <c r="M32" s="60"/>
      <c r="N32" s="60"/>
      <c r="O32" s="60"/>
      <c r="P32" s="60"/>
      <c r="Q32" s="60"/>
      <c r="R32" s="60"/>
      <c r="S32" s="60"/>
      <c r="T32" s="60"/>
      <c r="U32" s="61"/>
    </row>
    <row r="33" spans="2:21" ht="34.5" customHeight="1" x14ac:dyDescent="0.2">
      <c r="B33" s="59" t="s">
        <v>268</v>
      </c>
      <c r="C33" s="60"/>
      <c r="D33" s="60"/>
      <c r="E33" s="60"/>
      <c r="F33" s="60"/>
      <c r="G33" s="60"/>
      <c r="H33" s="60"/>
      <c r="I33" s="60"/>
      <c r="J33" s="60"/>
      <c r="K33" s="60"/>
      <c r="L33" s="60"/>
      <c r="M33" s="60"/>
      <c r="N33" s="60"/>
      <c r="O33" s="60"/>
      <c r="P33" s="60"/>
      <c r="Q33" s="60"/>
      <c r="R33" s="60"/>
      <c r="S33" s="60"/>
      <c r="T33" s="60"/>
      <c r="U33" s="61"/>
    </row>
    <row r="34" spans="2:21" ht="34.5" customHeight="1" x14ac:dyDescent="0.2">
      <c r="B34" s="59" t="s">
        <v>269</v>
      </c>
      <c r="C34" s="60"/>
      <c r="D34" s="60"/>
      <c r="E34" s="60"/>
      <c r="F34" s="60"/>
      <c r="G34" s="60"/>
      <c r="H34" s="60"/>
      <c r="I34" s="60"/>
      <c r="J34" s="60"/>
      <c r="K34" s="60"/>
      <c r="L34" s="60"/>
      <c r="M34" s="60"/>
      <c r="N34" s="60"/>
      <c r="O34" s="60"/>
      <c r="P34" s="60"/>
      <c r="Q34" s="60"/>
      <c r="R34" s="60"/>
      <c r="S34" s="60"/>
      <c r="T34" s="60"/>
      <c r="U34" s="61"/>
    </row>
    <row r="35" spans="2:21" ht="34.5" customHeight="1" thickBot="1" x14ac:dyDescent="0.25">
      <c r="B35" s="62" t="s">
        <v>270</v>
      </c>
      <c r="C35" s="63"/>
      <c r="D35" s="63"/>
      <c r="E35" s="63"/>
      <c r="F35" s="63"/>
      <c r="G35" s="63"/>
      <c r="H35" s="63"/>
      <c r="I35" s="63"/>
      <c r="J35" s="63"/>
      <c r="K35" s="63"/>
      <c r="L35" s="63"/>
      <c r="M35" s="63"/>
      <c r="N35" s="63"/>
      <c r="O35" s="63"/>
      <c r="P35" s="63"/>
      <c r="Q35" s="63"/>
      <c r="R35" s="63"/>
      <c r="S35" s="63"/>
      <c r="T35" s="63"/>
      <c r="U35" s="64"/>
    </row>
  </sheetData>
  <mergeCells count="6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B35:U35"/>
    <mergeCell ref="B23:D23"/>
    <mergeCell ref="B24:D24"/>
    <mergeCell ref="B26:U26"/>
    <mergeCell ref="B27:U27"/>
    <mergeCell ref="B28:U28"/>
    <mergeCell ref="B29:U29"/>
    <mergeCell ref="B30:U30"/>
    <mergeCell ref="B31:U31"/>
    <mergeCell ref="B32:U32"/>
    <mergeCell ref="B33:U33"/>
    <mergeCell ref="B34:U34"/>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271</v>
      </c>
      <c r="D4" s="99" t="s">
        <v>272</v>
      </c>
      <c r="E4" s="99"/>
      <c r="F4" s="99"/>
      <c r="G4" s="99"/>
      <c r="H4" s="99"/>
      <c r="I4" s="14"/>
      <c r="J4" s="15" t="s">
        <v>9</v>
      </c>
      <c r="K4" s="16" t="s">
        <v>10</v>
      </c>
      <c r="L4" s="100" t="s">
        <v>1</v>
      </c>
      <c r="M4" s="100"/>
      <c r="N4" s="100"/>
      <c r="O4" s="100"/>
      <c r="P4" s="15" t="s">
        <v>11</v>
      </c>
      <c r="Q4" s="100" t="s">
        <v>12</v>
      </c>
      <c r="R4" s="100"/>
      <c r="S4" s="15" t="s">
        <v>13</v>
      </c>
      <c r="T4" s="100" t="s">
        <v>190</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273</v>
      </c>
      <c r="L6" s="80"/>
      <c r="M6" s="80"/>
      <c r="N6" s="19"/>
      <c r="O6" s="20" t="s">
        <v>20</v>
      </c>
      <c r="P6" s="80" t="s">
        <v>274</v>
      </c>
      <c r="Q6" s="80"/>
      <c r="R6" s="21"/>
      <c r="S6" s="20" t="s">
        <v>22</v>
      </c>
      <c r="T6" s="80" t="s">
        <v>275</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276</v>
      </c>
      <c r="D11" s="73"/>
      <c r="E11" s="73"/>
      <c r="F11" s="73"/>
      <c r="G11" s="73"/>
      <c r="H11" s="73"/>
      <c r="I11" s="73" t="s">
        <v>277</v>
      </c>
      <c r="J11" s="73"/>
      <c r="K11" s="73"/>
      <c r="L11" s="73" t="s">
        <v>278</v>
      </c>
      <c r="M11" s="73"/>
      <c r="N11" s="73"/>
      <c r="O11" s="73"/>
      <c r="P11" s="27" t="s">
        <v>48</v>
      </c>
      <c r="Q11" s="27" t="s">
        <v>43</v>
      </c>
      <c r="R11" s="27">
        <v>65.33</v>
      </c>
      <c r="S11" s="27" t="s">
        <v>44</v>
      </c>
      <c r="T11" s="27" t="s">
        <v>44</v>
      </c>
      <c r="U11" s="28" t="str">
        <f t="shared" ref="U11:U19" si="0">IF(ISERR(T11/S11*100),"N/A",T11/S11*100)</f>
        <v>N/A</v>
      </c>
    </row>
    <row r="12" spans="1:34" ht="75" customHeight="1" thickBot="1" x14ac:dyDescent="0.25">
      <c r="A12" s="25"/>
      <c r="B12" s="29" t="s">
        <v>45</v>
      </c>
      <c r="C12" s="72" t="s">
        <v>45</v>
      </c>
      <c r="D12" s="72"/>
      <c r="E12" s="72"/>
      <c r="F12" s="72"/>
      <c r="G12" s="72"/>
      <c r="H12" s="72"/>
      <c r="I12" s="72" t="s">
        <v>279</v>
      </c>
      <c r="J12" s="72"/>
      <c r="K12" s="72"/>
      <c r="L12" s="72" t="s">
        <v>280</v>
      </c>
      <c r="M12" s="72"/>
      <c r="N12" s="72"/>
      <c r="O12" s="72"/>
      <c r="P12" s="30" t="s">
        <v>135</v>
      </c>
      <c r="Q12" s="30" t="s">
        <v>43</v>
      </c>
      <c r="R12" s="30">
        <v>48</v>
      </c>
      <c r="S12" s="30" t="s">
        <v>44</v>
      </c>
      <c r="T12" s="30" t="s">
        <v>44</v>
      </c>
      <c r="U12" s="32" t="str">
        <f t="shared" si="0"/>
        <v>N/A</v>
      </c>
    </row>
    <row r="13" spans="1:34" ht="75" customHeight="1" thickTop="1" x14ac:dyDescent="0.2">
      <c r="A13" s="25"/>
      <c r="B13" s="26" t="s">
        <v>62</v>
      </c>
      <c r="C13" s="73" t="s">
        <v>281</v>
      </c>
      <c r="D13" s="73"/>
      <c r="E13" s="73"/>
      <c r="F13" s="73"/>
      <c r="G13" s="73"/>
      <c r="H13" s="73"/>
      <c r="I13" s="73" t="s">
        <v>282</v>
      </c>
      <c r="J13" s="73"/>
      <c r="K13" s="73"/>
      <c r="L13" s="73" t="s">
        <v>283</v>
      </c>
      <c r="M13" s="73"/>
      <c r="N13" s="73"/>
      <c r="O13" s="73"/>
      <c r="P13" s="27" t="s">
        <v>48</v>
      </c>
      <c r="Q13" s="27" t="s">
        <v>284</v>
      </c>
      <c r="R13" s="27">
        <v>1.85</v>
      </c>
      <c r="S13" s="27" t="s">
        <v>44</v>
      </c>
      <c r="T13" s="27" t="s">
        <v>44</v>
      </c>
      <c r="U13" s="28" t="str">
        <f t="shared" si="0"/>
        <v>N/A</v>
      </c>
    </row>
    <row r="14" spans="1:34" ht="75" customHeight="1" thickBot="1" x14ac:dyDescent="0.25">
      <c r="A14" s="25"/>
      <c r="B14" s="29" t="s">
        <v>45</v>
      </c>
      <c r="C14" s="72" t="s">
        <v>45</v>
      </c>
      <c r="D14" s="72"/>
      <c r="E14" s="72"/>
      <c r="F14" s="72"/>
      <c r="G14" s="72"/>
      <c r="H14" s="72"/>
      <c r="I14" s="72" t="s">
        <v>285</v>
      </c>
      <c r="J14" s="72"/>
      <c r="K14" s="72"/>
      <c r="L14" s="72" t="s">
        <v>286</v>
      </c>
      <c r="M14" s="72"/>
      <c r="N14" s="72"/>
      <c r="O14" s="72"/>
      <c r="P14" s="30" t="s">
        <v>287</v>
      </c>
      <c r="Q14" s="30" t="s">
        <v>43</v>
      </c>
      <c r="R14" s="30">
        <v>7.37</v>
      </c>
      <c r="S14" s="30" t="s">
        <v>44</v>
      </c>
      <c r="T14" s="30" t="s">
        <v>44</v>
      </c>
      <c r="U14" s="32" t="str">
        <f t="shared" si="0"/>
        <v>N/A</v>
      </c>
    </row>
    <row r="15" spans="1:34" ht="75" customHeight="1" thickTop="1" x14ac:dyDescent="0.2">
      <c r="A15" s="25"/>
      <c r="B15" s="26" t="s">
        <v>71</v>
      </c>
      <c r="C15" s="73" t="s">
        <v>288</v>
      </c>
      <c r="D15" s="73"/>
      <c r="E15" s="73"/>
      <c r="F15" s="73"/>
      <c r="G15" s="73"/>
      <c r="H15" s="73"/>
      <c r="I15" s="73" t="s">
        <v>289</v>
      </c>
      <c r="J15" s="73"/>
      <c r="K15" s="73"/>
      <c r="L15" s="73" t="s">
        <v>290</v>
      </c>
      <c r="M15" s="73"/>
      <c r="N15" s="73"/>
      <c r="O15" s="73"/>
      <c r="P15" s="27" t="s">
        <v>48</v>
      </c>
      <c r="Q15" s="27" t="s">
        <v>291</v>
      </c>
      <c r="R15" s="27">
        <v>66.010000000000005</v>
      </c>
      <c r="S15" s="27">
        <v>75.540000000000006</v>
      </c>
      <c r="T15" s="27">
        <v>74.81</v>
      </c>
      <c r="U15" s="28">
        <f t="shared" si="0"/>
        <v>99.033624569764356</v>
      </c>
    </row>
    <row r="16" spans="1:34" ht="75" customHeight="1" thickBot="1" x14ac:dyDescent="0.25">
      <c r="A16" s="25"/>
      <c r="B16" s="29" t="s">
        <v>45</v>
      </c>
      <c r="C16" s="72" t="s">
        <v>292</v>
      </c>
      <c r="D16" s="72"/>
      <c r="E16" s="72"/>
      <c r="F16" s="72"/>
      <c r="G16" s="72"/>
      <c r="H16" s="72"/>
      <c r="I16" s="72" t="s">
        <v>293</v>
      </c>
      <c r="J16" s="72"/>
      <c r="K16" s="72"/>
      <c r="L16" s="72" t="s">
        <v>294</v>
      </c>
      <c r="M16" s="72"/>
      <c r="N16" s="72"/>
      <c r="O16" s="72"/>
      <c r="P16" s="30" t="s">
        <v>48</v>
      </c>
      <c r="Q16" s="30" t="s">
        <v>291</v>
      </c>
      <c r="R16" s="30">
        <v>23.44</v>
      </c>
      <c r="S16" s="30">
        <v>22.92</v>
      </c>
      <c r="T16" s="30">
        <v>23.04</v>
      </c>
      <c r="U16" s="32">
        <f t="shared" si="0"/>
        <v>100.52356020942408</v>
      </c>
    </row>
    <row r="17" spans="1:22" ht="75" customHeight="1" thickTop="1" x14ac:dyDescent="0.2">
      <c r="A17" s="25"/>
      <c r="B17" s="26" t="s">
        <v>87</v>
      </c>
      <c r="C17" s="73" t="s">
        <v>295</v>
      </c>
      <c r="D17" s="73"/>
      <c r="E17" s="73"/>
      <c r="F17" s="73"/>
      <c r="G17" s="73"/>
      <c r="H17" s="73"/>
      <c r="I17" s="73" t="s">
        <v>296</v>
      </c>
      <c r="J17" s="73"/>
      <c r="K17" s="73"/>
      <c r="L17" s="73" t="s">
        <v>297</v>
      </c>
      <c r="M17" s="73"/>
      <c r="N17" s="73"/>
      <c r="O17" s="73"/>
      <c r="P17" s="27" t="s">
        <v>48</v>
      </c>
      <c r="Q17" s="27" t="s">
        <v>91</v>
      </c>
      <c r="R17" s="27">
        <v>92</v>
      </c>
      <c r="S17" s="27">
        <v>90</v>
      </c>
      <c r="T17" s="27">
        <v>92.44</v>
      </c>
      <c r="U17" s="28">
        <f t="shared" si="0"/>
        <v>102.71111111111111</v>
      </c>
    </row>
    <row r="18" spans="1:22" ht="75" customHeight="1" x14ac:dyDescent="0.2">
      <c r="A18" s="25"/>
      <c r="B18" s="29" t="s">
        <v>45</v>
      </c>
      <c r="C18" s="72" t="s">
        <v>298</v>
      </c>
      <c r="D18" s="72"/>
      <c r="E18" s="72"/>
      <c r="F18" s="72"/>
      <c r="G18" s="72"/>
      <c r="H18" s="72"/>
      <c r="I18" s="72" t="s">
        <v>299</v>
      </c>
      <c r="J18" s="72"/>
      <c r="K18" s="72"/>
      <c r="L18" s="72" t="s">
        <v>300</v>
      </c>
      <c r="M18" s="72"/>
      <c r="N18" s="72"/>
      <c r="O18" s="72"/>
      <c r="P18" s="30" t="s">
        <v>48</v>
      </c>
      <c r="Q18" s="30" t="s">
        <v>301</v>
      </c>
      <c r="R18" s="30">
        <v>95</v>
      </c>
      <c r="S18" s="30" t="s">
        <v>44</v>
      </c>
      <c r="T18" s="30" t="s">
        <v>44</v>
      </c>
      <c r="U18" s="32" t="str">
        <f t="shared" si="0"/>
        <v>N/A</v>
      </c>
    </row>
    <row r="19" spans="1:22" ht="75" customHeight="1" thickBot="1" x14ac:dyDescent="0.25">
      <c r="A19" s="25"/>
      <c r="B19" s="29" t="s">
        <v>45</v>
      </c>
      <c r="C19" s="72" t="s">
        <v>302</v>
      </c>
      <c r="D19" s="72"/>
      <c r="E19" s="72"/>
      <c r="F19" s="72"/>
      <c r="G19" s="72"/>
      <c r="H19" s="72"/>
      <c r="I19" s="72" t="s">
        <v>303</v>
      </c>
      <c r="J19" s="72"/>
      <c r="K19" s="72"/>
      <c r="L19" s="72" t="s">
        <v>304</v>
      </c>
      <c r="M19" s="72"/>
      <c r="N19" s="72"/>
      <c r="O19" s="72"/>
      <c r="P19" s="30" t="s">
        <v>48</v>
      </c>
      <c r="Q19" s="30" t="s">
        <v>291</v>
      </c>
      <c r="R19" s="30">
        <v>82.5</v>
      </c>
      <c r="S19" s="30">
        <v>83.71</v>
      </c>
      <c r="T19" s="30">
        <v>82.12</v>
      </c>
      <c r="U19" s="32">
        <f t="shared" si="0"/>
        <v>98.100585354199026</v>
      </c>
    </row>
    <row r="20" spans="1:22" ht="22.5" customHeight="1" thickTop="1" thickBot="1" x14ac:dyDescent="0.25">
      <c r="B20" s="8" t="s">
        <v>98</v>
      </c>
      <c r="C20" s="9"/>
      <c r="D20" s="9"/>
      <c r="E20" s="9"/>
      <c r="F20" s="9"/>
      <c r="G20" s="9"/>
      <c r="H20" s="10"/>
      <c r="I20" s="10"/>
      <c r="J20" s="10"/>
      <c r="K20" s="10"/>
      <c r="L20" s="10"/>
      <c r="M20" s="10"/>
      <c r="N20" s="10"/>
      <c r="O20" s="10"/>
      <c r="P20" s="10"/>
      <c r="Q20" s="10"/>
      <c r="R20" s="10"/>
      <c r="S20" s="10"/>
      <c r="T20" s="10"/>
      <c r="U20" s="11"/>
      <c r="V20" s="33"/>
    </row>
    <row r="21" spans="1:22" ht="26.25" customHeight="1" thickTop="1" x14ac:dyDescent="0.2">
      <c r="B21" s="34"/>
      <c r="C21" s="35"/>
      <c r="D21" s="35"/>
      <c r="E21" s="35"/>
      <c r="F21" s="35"/>
      <c r="G21" s="35"/>
      <c r="H21" s="36"/>
      <c r="I21" s="36"/>
      <c r="J21" s="36"/>
      <c r="K21" s="36"/>
      <c r="L21" s="36"/>
      <c r="M21" s="36"/>
      <c r="N21" s="36"/>
      <c r="O21" s="36"/>
      <c r="P21" s="37"/>
      <c r="Q21" s="38"/>
      <c r="R21" s="39" t="s">
        <v>99</v>
      </c>
      <c r="S21" s="22" t="s">
        <v>100</v>
      </c>
      <c r="T21" s="39" t="s">
        <v>101</v>
      </c>
      <c r="U21" s="22" t="s">
        <v>102</v>
      </c>
    </row>
    <row r="22" spans="1:22" ht="26.25" customHeight="1" thickBot="1" x14ac:dyDescent="0.25">
      <c r="B22" s="40"/>
      <c r="C22" s="41"/>
      <c r="D22" s="41"/>
      <c r="E22" s="41"/>
      <c r="F22" s="41"/>
      <c r="G22" s="41"/>
      <c r="H22" s="42"/>
      <c r="I22" s="42"/>
      <c r="J22" s="42"/>
      <c r="K22" s="42"/>
      <c r="L22" s="42"/>
      <c r="M22" s="42"/>
      <c r="N22" s="42"/>
      <c r="O22" s="42"/>
      <c r="P22" s="43"/>
      <c r="Q22" s="44"/>
      <c r="R22" s="45" t="s">
        <v>103</v>
      </c>
      <c r="S22" s="44" t="s">
        <v>103</v>
      </c>
      <c r="T22" s="44" t="s">
        <v>103</v>
      </c>
      <c r="U22" s="44" t="s">
        <v>104</v>
      </c>
    </row>
    <row r="23" spans="1:22" ht="13.5" customHeight="1" thickBot="1" x14ac:dyDescent="0.25">
      <c r="B23" s="65" t="s">
        <v>105</v>
      </c>
      <c r="C23" s="66"/>
      <c r="D23" s="66"/>
      <c r="E23" s="46"/>
      <c r="F23" s="46"/>
      <c r="G23" s="46"/>
      <c r="H23" s="47"/>
      <c r="I23" s="47"/>
      <c r="J23" s="47"/>
      <c r="K23" s="47"/>
      <c r="L23" s="47"/>
      <c r="M23" s="47"/>
      <c r="N23" s="47"/>
      <c r="O23" s="47"/>
      <c r="P23" s="48"/>
      <c r="Q23" s="48"/>
      <c r="R23" s="49">
        <f>11908.219972</f>
        <v>11908.219972000001</v>
      </c>
      <c r="S23" s="49">
        <f>8522.280307</f>
        <v>8522.2803070000009</v>
      </c>
      <c r="T23" s="49">
        <f>7887.26215806</f>
        <v>7887.2621580599998</v>
      </c>
      <c r="U23" s="50">
        <f>+IF(ISERR(T23/S23*100),"N/A",T23/S23*100)</f>
        <v>92.548729611505365</v>
      </c>
    </row>
    <row r="24" spans="1:22" ht="13.5" customHeight="1" thickBot="1" x14ac:dyDescent="0.25">
      <c r="B24" s="67" t="s">
        <v>106</v>
      </c>
      <c r="C24" s="68"/>
      <c r="D24" s="68"/>
      <c r="E24" s="51"/>
      <c r="F24" s="51"/>
      <c r="G24" s="51"/>
      <c r="H24" s="52"/>
      <c r="I24" s="52"/>
      <c r="J24" s="52"/>
      <c r="K24" s="52"/>
      <c r="L24" s="52"/>
      <c r="M24" s="52"/>
      <c r="N24" s="52"/>
      <c r="O24" s="52"/>
      <c r="P24" s="53"/>
      <c r="Q24" s="53"/>
      <c r="R24" s="49">
        <f>11139.371836</f>
        <v>11139.371836</v>
      </c>
      <c r="S24" s="49">
        <f>8065.540945</f>
        <v>8065.5409449999997</v>
      </c>
      <c r="T24" s="49">
        <f>7887.26215806</f>
        <v>7887.2621580599998</v>
      </c>
      <c r="U24" s="50">
        <f>+IF(ISERR(T24/S24*100),"N/A",T24/S24*100)</f>
        <v>97.789623930301673</v>
      </c>
    </row>
    <row r="25" spans="1:22" ht="14.85" customHeight="1" thickTop="1" thickBot="1" x14ac:dyDescent="0.25">
      <c r="B25" s="8" t="s">
        <v>107</v>
      </c>
      <c r="C25" s="9"/>
      <c r="D25" s="9"/>
      <c r="E25" s="9"/>
      <c r="F25" s="9"/>
      <c r="G25" s="9"/>
      <c r="H25" s="10"/>
      <c r="I25" s="10"/>
      <c r="J25" s="10"/>
      <c r="K25" s="10"/>
      <c r="L25" s="10"/>
      <c r="M25" s="10"/>
      <c r="N25" s="10"/>
      <c r="O25" s="10"/>
      <c r="P25" s="10"/>
      <c r="Q25" s="10"/>
      <c r="R25" s="10"/>
      <c r="S25" s="10"/>
      <c r="T25" s="10"/>
      <c r="U25" s="11"/>
    </row>
    <row r="26" spans="1:22" ht="44.25" customHeight="1" thickTop="1" x14ac:dyDescent="0.2">
      <c r="B26" s="69" t="s">
        <v>108</v>
      </c>
      <c r="C26" s="70"/>
      <c r="D26" s="70"/>
      <c r="E26" s="70"/>
      <c r="F26" s="70"/>
      <c r="G26" s="70"/>
      <c r="H26" s="70"/>
      <c r="I26" s="70"/>
      <c r="J26" s="70"/>
      <c r="K26" s="70"/>
      <c r="L26" s="70"/>
      <c r="M26" s="70"/>
      <c r="N26" s="70"/>
      <c r="O26" s="70"/>
      <c r="P26" s="70"/>
      <c r="Q26" s="70"/>
      <c r="R26" s="70"/>
      <c r="S26" s="70"/>
      <c r="T26" s="70"/>
      <c r="U26" s="71"/>
    </row>
    <row r="27" spans="1:22" ht="34.5" customHeight="1" x14ac:dyDescent="0.2">
      <c r="B27" s="59" t="s">
        <v>305</v>
      </c>
      <c r="C27" s="60"/>
      <c r="D27" s="60"/>
      <c r="E27" s="60"/>
      <c r="F27" s="60"/>
      <c r="G27" s="60"/>
      <c r="H27" s="60"/>
      <c r="I27" s="60"/>
      <c r="J27" s="60"/>
      <c r="K27" s="60"/>
      <c r="L27" s="60"/>
      <c r="M27" s="60"/>
      <c r="N27" s="60"/>
      <c r="O27" s="60"/>
      <c r="P27" s="60"/>
      <c r="Q27" s="60"/>
      <c r="R27" s="60"/>
      <c r="S27" s="60"/>
      <c r="T27" s="60"/>
      <c r="U27" s="61"/>
    </row>
    <row r="28" spans="1:22" ht="34.5" customHeight="1" x14ac:dyDescent="0.2">
      <c r="B28" s="59" t="s">
        <v>306</v>
      </c>
      <c r="C28" s="60"/>
      <c r="D28" s="60"/>
      <c r="E28" s="60"/>
      <c r="F28" s="60"/>
      <c r="G28" s="60"/>
      <c r="H28" s="60"/>
      <c r="I28" s="60"/>
      <c r="J28" s="60"/>
      <c r="K28" s="60"/>
      <c r="L28" s="60"/>
      <c r="M28" s="60"/>
      <c r="N28" s="60"/>
      <c r="O28" s="60"/>
      <c r="P28" s="60"/>
      <c r="Q28" s="60"/>
      <c r="R28" s="60"/>
      <c r="S28" s="60"/>
      <c r="T28" s="60"/>
      <c r="U28" s="61"/>
    </row>
    <row r="29" spans="1:22" ht="34.5" customHeight="1" x14ac:dyDescent="0.2">
      <c r="B29" s="59" t="s">
        <v>307</v>
      </c>
      <c r="C29" s="60"/>
      <c r="D29" s="60"/>
      <c r="E29" s="60"/>
      <c r="F29" s="60"/>
      <c r="G29" s="60"/>
      <c r="H29" s="60"/>
      <c r="I29" s="60"/>
      <c r="J29" s="60"/>
      <c r="K29" s="60"/>
      <c r="L29" s="60"/>
      <c r="M29" s="60"/>
      <c r="N29" s="60"/>
      <c r="O29" s="60"/>
      <c r="P29" s="60"/>
      <c r="Q29" s="60"/>
      <c r="R29" s="60"/>
      <c r="S29" s="60"/>
      <c r="T29" s="60"/>
      <c r="U29" s="61"/>
    </row>
    <row r="30" spans="1:22" ht="34.5" customHeight="1" x14ac:dyDescent="0.2">
      <c r="B30" s="59" t="s">
        <v>308</v>
      </c>
      <c r="C30" s="60"/>
      <c r="D30" s="60"/>
      <c r="E30" s="60"/>
      <c r="F30" s="60"/>
      <c r="G30" s="60"/>
      <c r="H30" s="60"/>
      <c r="I30" s="60"/>
      <c r="J30" s="60"/>
      <c r="K30" s="60"/>
      <c r="L30" s="60"/>
      <c r="M30" s="60"/>
      <c r="N30" s="60"/>
      <c r="O30" s="60"/>
      <c r="P30" s="60"/>
      <c r="Q30" s="60"/>
      <c r="R30" s="60"/>
      <c r="S30" s="60"/>
      <c r="T30" s="60"/>
      <c r="U30" s="61"/>
    </row>
    <row r="31" spans="1:22" ht="44.1" customHeight="1" x14ac:dyDescent="0.2">
      <c r="B31" s="59" t="s">
        <v>309</v>
      </c>
      <c r="C31" s="60"/>
      <c r="D31" s="60"/>
      <c r="E31" s="60"/>
      <c r="F31" s="60"/>
      <c r="G31" s="60"/>
      <c r="H31" s="60"/>
      <c r="I31" s="60"/>
      <c r="J31" s="60"/>
      <c r="K31" s="60"/>
      <c r="L31" s="60"/>
      <c r="M31" s="60"/>
      <c r="N31" s="60"/>
      <c r="O31" s="60"/>
      <c r="P31" s="60"/>
      <c r="Q31" s="60"/>
      <c r="R31" s="60"/>
      <c r="S31" s="60"/>
      <c r="T31" s="60"/>
      <c r="U31" s="61"/>
    </row>
    <row r="32" spans="1:22" ht="48.6" customHeight="1" x14ac:dyDescent="0.2">
      <c r="B32" s="59" t="s">
        <v>310</v>
      </c>
      <c r="C32" s="60"/>
      <c r="D32" s="60"/>
      <c r="E32" s="60"/>
      <c r="F32" s="60"/>
      <c r="G32" s="60"/>
      <c r="H32" s="60"/>
      <c r="I32" s="60"/>
      <c r="J32" s="60"/>
      <c r="K32" s="60"/>
      <c r="L32" s="60"/>
      <c r="M32" s="60"/>
      <c r="N32" s="60"/>
      <c r="O32" s="60"/>
      <c r="P32" s="60"/>
      <c r="Q32" s="60"/>
      <c r="R32" s="60"/>
      <c r="S32" s="60"/>
      <c r="T32" s="60"/>
      <c r="U32" s="61"/>
    </row>
    <row r="33" spans="2:21" ht="33" customHeight="1" x14ac:dyDescent="0.2">
      <c r="B33" s="59" t="s">
        <v>311</v>
      </c>
      <c r="C33" s="60"/>
      <c r="D33" s="60"/>
      <c r="E33" s="60"/>
      <c r="F33" s="60"/>
      <c r="G33" s="60"/>
      <c r="H33" s="60"/>
      <c r="I33" s="60"/>
      <c r="J33" s="60"/>
      <c r="K33" s="60"/>
      <c r="L33" s="60"/>
      <c r="M33" s="60"/>
      <c r="N33" s="60"/>
      <c r="O33" s="60"/>
      <c r="P33" s="60"/>
      <c r="Q33" s="60"/>
      <c r="R33" s="60"/>
      <c r="S33" s="60"/>
      <c r="T33" s="60"/>
      <c r="U33" s="61"/>
    </row>
    <row r="34" spans="2:21" ht="34.5" customHeight="1" x14ac:dyDescent="0.2">
      <c r="B34" s="59" t="s">
        <v>312</v>
      </c>
      <c r="C34" s="60"/>
      <c r="D34" s="60"/>
      <c r="E34" s="60"/>
      <c r="F34" s="60"/>
      <c r="G34" s="60"/>
      <c r="H34" s="60"/>
      <c r="I34" s="60"/>
      <c r="J34" s="60"/>
      <c r="K34" s="60"/>
      <c r="L34" s="60"/>
      <c r="M34" s="60"/>
      <c r="N34" s="60"/>
      <c r="O34" s="60"/>
      <c r="P34" s="60"/>
      <c r="Q34" s="60"/>
      <c r="R34" s="60"/>
      <c r="S34" s="60"/>
      <c r="T34" s="60"/>
      <c r="U34" s="61"/>
    </row>
    <row r="35" spans="2:21" ht="60" customHeight="1" thickBot="1" x14ac:dyDescent="0.25">
      <c r="B35" s="62" t="s">
        <v>313</v>
      </c>
      <c r="C35" s="63"/>
      <c r="D35" s="63"/>
      <c r="E35" s="63"/>
      <c r="F35" s="63"/>
      <c r="G35" s="63"/>
      <c r="H35" s="63"/>
      <c r="I35" s="63"/>
      <c r="J35" s="63"/>
      <c r="K35" s="63"/>
      <c r="L35" s="63"/>
      <c r="M35" s="63"/>
      <c r="N35" s="63"/>
      <c r="O35" s="63"/>
      <c r="P35" s="63"/>
      <c r="Q35" s="63"/>
      <c r="R35" s="63"/>
      <c r="S35" s="63"/>
      <c r="T35" s="63"/>
      <c r="U35" s="64"/>
    </row>
  </sheetData>
  <mergeCells count="6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B35:U35"/>
    <mergeCell ref="B23:D23"/>
    <mergeCell ref="B24:D24"/>
    <mergeCell ref="B26:U26"/>
    <mergeCell ref="B27:U27"/>
    <mergeCell ref="B28:U28"/>
    <mergeCell ref="B29:U29"/>
    <mergeCell ref="B30:U30"/>
    <mergeCell ref="B31:U31"/>
    <mergeCell ref="B32:U32"/>
    <mergeCell ref="B33:U33"/>
    <mergeCell ref="B34:U34"/>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7"/>
  <sheetViews>
    <sheetView view="pageBreakPreview" zoomScale="80" zoomScaleNormal="80" zoomScaleSheetLayoutView="80" workbookViewId="0">
      <selection activeCell="B1" sqref="B1:L1"/>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314</v>
      </c>
      <c r="D4" s="99" t="s">
        <v>315</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130</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316</v>
      </c>
      <c r="D11" s="73"/>
      <c r="E11" s="73"/>
      <c r="F11" s="73"/>
      <c r="G11" s="73"/>
      <c r="H11" s="73"/>
      <c r="I11" s="73" t="s">
        <v>56</v>
      </c>
      <c r="J11" s="73"/>
      <c r="K11" s="73"/>
      <c r="L11" s="73" t="s">
        <v>317</v>
      </c>
      <c r="M11" s="73"/>
      <c r="N11" s="73"/>
      <c r="O11" s="73"/>
      <c r="P11" s="27" t="s">
        <v>132</v>
      </c>
      <c r="Q11" s="27" t="s">
        <v>43</v>
      </c>
      <c r="R11" s="54">
        <v>78.19</v>
      </c>
      <c r="S11" s="54" t="s">
        <v>44</v>
      </c>
      <c r="T11" s="54" t="s">
        <v>44</v>
      </c>
      <c r="U11" s="28" t="str">
        <f>IF(ISERR(T11/S11*100),"N/A",T11/S11*100)</f>
        <v>N/A</v>
      </c>
    </row>
    <row r="12" spans="1:34" ht="75" customHeight="1" thickBot="1" x14ac:dyDescent="0.25">
      <c r="A12" s="25"/>
      <c r="B12" s="29" t="s">
        <v>45</v>
      </c>
      <c r="C12" s="72" t="s">
        <v>45</v>
      </c>
      <c r="D12" s="72"/>
      <c r="E12" s="72"/>
      <c r="F12" s="72"/>
      <c r="G12" s="72"/>
      <c r="H12" s="72"/>
      <c r="I12" s="72" t="s">
        <v>318</v>
      </c>
      <c r="J12" s="72"/>
      <c r="K12" s="72"/>
      <c r="L12" s="72" t="s">
        <v>319</v>
      </c>
      <c r="M12" s="72"/>
      <c r="N12" s="72"/>
      <c r="O12" s="72"/>
      <c r="P12" s="30" t="s">
        <v>135</v>
      </c>
      <c r="Q12" s="30" t="s">
        <v>43</v>
      </c>
      <c r="R12" s="31">
        <v>16</v>
      </c>
      <c r="S12" s="31" t="s">
        <v>44</v>
      </c>
      <c r="T12" s="31" t="s">
        <v>44</v>
      </c>
      <c r="U12" s="32" t="str">
        <f>IF(ISERR((S12-T12)*100/S12+100),"N/A",(S12-T12)*100/S12+100)</f>
        <v>N/A</v>
      </c>
    </row>
    <row r="13" spans="1:34" ht="75" customHeight="1" thickTop="1" thickBot="1" x14ac:dyDescent="0.25">
      <c r="A13" s="25"/>
      <c r="B13" s="26" t="s">
        <v>62</v>
      </c>
      <c r="C13" s="73" t="s">
        <v>320</v>
      </c>
      <c r="D13" s="73"/>
      <c r="E13" s="73"/>
      <c r="F13" s="73"/>
      <c r="G13" s="73"/>
      <c r="H13" s="73"/>
      <c r="I13" s="73" t="s">
        <v>321</v>
      </c>
      <c r="J13" s="73"/>
      <c r="K13" s="73"/>
      <c r="L13" s="73" t="s">
        <v>322</v>
      </c>
      <c r="M13" s="73"/>
      <c r="N13" s="73"/>
      <c r="O13" s="73"/>
      <c r="P13" s="27" t="s">
        <v>323</v>
      </c>
      <c r="Q13" s="27" t="s">
        <v>43</v>
      </c>
      <c r="R13" s="54">
        <v>685.7</v>
      </c>
      <c r="S13" s="54" t="s">
        <v>44</v>
      </c>
      <c r="T13" s="54" t="s">
        <v>44</v>
      </c>
      <c r="U13" s="28" t="str">
        <f>IF(ISERR((S13-T13)*100/S13+100),"N/A",(S13-T13)*100/S13+100)</f>
        <v>N/A</v>
      </c>
    </row>
    <row r="14" spans="1:34" ht="75" customHeight="1" thickTop="1" x14ac:dyDescent="0.2">
      <c r="A14" s="25"/>
      <c r="B14" s="26" t="s">
        <v>71</v>
      </c>
      <c r="C14" s="73" t="s">
        <v>324</v>
      </c>
      <c r="D14" s="73"/>
      <c r="E14" s="73"/>
      <c r="F14" s="73"/>
      <c r="G14" s="73"/>
      <c r="H14" s="73"/>
      <c r="I14" s="73" t="s">
        <v>325</v>
      </c>
      <c r="J14" s="73"/>
      <c r="K14" s="73"/>
      <c r="L14" s="73" t="s">
        <v>326</v>
      </c>
      <c r="M14" s="73"/>
      <c r="N14" s="73"/>
      <c r="O14" s="73"/>
      <c r="P14" s="27" t="s">
        <v>48</v>
      </c>
      <c r="Q14" s="27" t="s">
        <v>139</v>
      </c>
      <c r="R14" s="27">
        <v>8.8000000000000007</v>
      </c>
      <c r="S14" s="27">
        <v>8.8000000000000007</v>
      </c>
      <c r="T14" s="27">
        <v>9.7100000000000009</v>
      </c>
      <c r="U14" s="28">
        <f>IF(ISERR((S14-T14)*100/S14+100),"N/A",(S14-T14)*100/S14+100)</f>
        <v>89.659090909090907</v>
      </c>
    </row>
    <row r="15" spans="1:34" ht="75" customHeight="1" x14ac:dyDescent="0.2">
      <c r="A15" s="25"/>
      <c r="B15" s="29" t="s">
        <v>45</v>
      </c>
      <c r="C15" s="72" t="s">
        <v>45</v>
      </c>
      <c r="D15" s="72"/>
      <c r="E15" s="72"/>
      <c r="F15" s="72"/>
      <c r="G15" s="72"/>
      <c r="H15" s="72"/>
      <c r="I15" s="72" t="s">
        <v>327</v>
      </c>
      <c r="J15" s="72"/>
      <c r="K15" s="72"/>
      <c r="L15" s="72" t="s">
        <v>328</v>
      </c>
      <c r="M15" s="72"/>
      <c r="N15" s="72"/>
      <c r="O15" s="72"/>
      <c r="P15" s="30" t="s">
        <v>48</v>
      </c>
      <c r="Q15" s="30" t="s">
        <v>329</v>
      </c>
      <c r="R15" s="30">
        <v>5</v>
      </c>
      <c r="S15" s="30">
        <v>5</v>
      </c>
      <c r="T15" s="30">
        <v>5.41</v>
      </c>
      <c r="U15" s="32">
        <f>IF(ISERR((S15-T15)*100/S15+100),"N/A",(S15-T15)*100/S15+100)</f>
        <v>91.8</v>
      </c>
    </row>
    <row r="16" spans="1:34" ht="75" customHeight="1" x14ac:dyDescent="0.2">
      <c r="A16" s="25"/>
      <c r="B16" s="29" t="s">
        <v>45</v>
      </c>
      <c r="C16" s="72" t="s">
        <v>330</v>
      </c>
      <c r="D16" s="72"/>
      <c r="E16" s="72"/>
      <c r="F16" s="72"/>
      <c r="G16" s="72"/>
      <c r="H16" s="72"/>
      <c r="I16" s="72" t="s">
        <v>331</v>
      </c>
      <c r="J16" s="72"/>
      <c r="K16" s="72"/>
      <c r="L16" s="72" t="s">
        <v>332</v>
      </c>
      <c r="M16" s="72"/>
      <c r="N16" s="72"/>
      <c r="O16" s="72"/>
      <c r="P16" s="30" t="s">
        <v>323</v>
      </c>
      <c r="Q16" s="30" t="s">
        <v>91</v>
      </c>
      <c r="R16" s="30">
        <v>7.4</v>
      </c>
      <c r="S16" s="30">
        <v>8.8000000000000007</v>
      </c>
      <c r="T16" s="30">
        <v>6.82</v>
      </c>
      <c r="U16" s="32">
        <f>IF(ISERR((S16-T16)*100/S16+100),"N/A",(S16-T16)*100/S16+100)</f>
        <v>122.5</v>
      </c>
    </row>
    <row r="17" spans="1:22" ht="75" customHeight="1" x14ac:dyDescent="0.2">
      <c r="A17" s="25"/>
      <c r="B17" s="29" t="s">
        <v>45</v>
      </c>
      <c r="C17" s="72" t="s">
        <v>333</v>
      </c>
      <c r="D17" s="72"/>
      <c r="E17" s="72"/>
      <c r="F17" s="72"/>
      <c r="G17" s="72"/>
      <c r="H17" s="72"/>
      <c r="I17" s="72" t="s">
        <v>334</v>
      </c>
      <c r="J17" s="72"/>
      <c r="K17" s="72"/>
      <c r="L17" s="72" t="s">
        <v>335</v>
      </c>
      <c r="M17" s="72"/>
      <c r="N17" s="72"/>
      <c r="O17" s="72"/>
      <c r="P17" s="30" t="s">
        <v>336</v>
      </c>
      <c r="Q17" s="30" t="s">
        <v>139</v>
      </c>
      <c r="R17" s="30">
        <v>41</v>
      </c>
      <c r="S17" s="30">
        <v>40.700000000000003</v>
      </c>
      <c r="T17" s="30">
        <v>38.619999999999997</v>
      </c>
      <c r="U17" s="32">
        <f>IF(ISERR(T17/S17*100),"N/A",T17/S17*100)</f>
        <v>94.889434889434881</v>
      </c>
    </row>
    <row r="18" spans="1:22" ht="75" customHeight="1" x14ac:dyDescent="0.2">
      <c r="A18" s="25"/>
      <c r="B18" s="29" t="s">
        <v>45</v>
      </c>
      <c r="C18" s="72" t="s">
        <v>45</v>
      </c>
      <c r="D18" s="72"/>
      <c r="E18" s="72"/>
      <c r="F18" s="72"/>
      <c r="G18" s="72"/>
      <c r="H18" s="72"/>
      <c r="I18" s="72" t="s">
        <v>337</v>
      </c>
      <c r="J18" s="72"/>
      <c r="K18" s="72"/>
      <c r="L18" s="72" t="s">
        <v>338</v>
      </c>
      <c r="M18" s="72"/>
      <c r="N18" s="72"/>
      <c r="O18" s="72"/>
      <c r="P18" s="30" t="s">
        <v>336</v>
      </c>
      <c r="Q18" s="30" t="s">
        <v>139</v>
      </c>
      <c r="R18" s="30">
        <v>83.36</v>
      </c>
      <c r="S18" s="30">
        <v>82.6</v>
      </c>
      <c r="T18" s="30">
        <v>62.91</v>
      </c>
      <c r="U18" s="32">
        <f>IF(ISERR(T18/S18*100),"N/A",T18/S18*100)</f>
        <v>76.162227602905574</v>
      </c>
    </row>
    <row r="19" spans="1:22" ht="75" customHeight="1" x14ac:dyDescent="0.2">
      <c r="A19" s="25"/>
      <c r="B19" s="29" t="s">
        <v>45</v>
      </c>
      <c r="C19" s="72" t="s">
        <v>339</v>
      </c>
      <c r="D19" s="72"/>
      <c r="E19" s="72"/>
      <c r="F19" s="72"/>
      <c r="G19" s="72"/>
      <c r="H19" s="72"/>
      <c r="I19" s="72" t="s">
        <v>340</v>
      </c>
      <c r="J19" s="72"/>
      <c r="K19" s="72"/>
      <c r="L19" s="72" t="s">
        <v>341</v>
      </c>
      <c r="M19" s="72"/>
      <c r="N19" s="72"/>
      <c r="O19" s="72"/>
      <c r="P19" s="30" t="s">
        <v>342</v>
      </c>
      <c r="Q19" s="30" t="s">
        <v>343</v>
      </c>
      <c r="R19" s="30">
        <v>36.99</v>
      </c>
      <c r="S19" s="30" t="s">
        <v>44</v>
      </c>
      <c r="T19" s="30" t="s">
        <v>44</v>
      </c>
      <c r="U19" s="32" t="str">
        <f>IF(ISERR((S19-T19)*100/S19+100),"N/A",(S19-T19)*100/S19+100)</f>
        <v>N/A</v>
      </c>
    </row>
    <row r="20" spans="1:22" ht="75" customHeight="1" x14ac:dyDescent="0.2">
      <c r="A20" s="25"/>
      <c r="B20" s="29" t="s">
        <v>45</v>
      </c>
      <c r="C20" s="72" t="s">
        <v>344</v>
      </c>
      <c r="D20" s="72"/>
      <c r="E20" s="72"/>
      <c r="F20" s="72"/>
      <c r="G20" s="72"/>
      <c r="H20" s="72"/>
      <c r="I20" s="72" t="s">
        <v>345</v>
      </c>
      <c r="J20" s="72"/>
      <c r="K20" s="72"/>
      <c r="L20" s="72" t="s">
        <v>346</v>
      </c>
      <c r="M20" s="72"/>
      <c r="N20" s="72"/>
      <c r="O20" s="72"/>
      <c r="P20" s="30" t="s">
        <v>48</v>
      </c>
      <c r="Q20" s="30" t="s">
        <v>91</v>
      </c>
      <c r="R20" s="31">
        <v>91</v>
      </c>
      <c r="S20" s="31">
        <v>91</v>
      </c>
      <c r="T20" s="31">
        <v>93.21</v>
      </c>
      <c r="U20" s="32">
        <f t="shared" ref="U20:U30" si="0">IF(ISERR(T20/S20*100),"N/A",T20/S20*100)</f>
        <v>102.42857142857143</v>
      </c>
    </row>
    <row r="21" spans="1:22" ht="75" customHeight="1" thickBot="1" x14ac:dyDescent="0.25">
      <c r="A21" s="25"/>
      <c r="B21" s="29" t="s">
        <v>45</v>
      </c>
      <c r="C21" s="72" t="s">
        <v>45</v>
      </c>
      <c r="D21" s="72"/>
      <c r="E21" s="72"/>
      <c r="F21" s="72"/>
      <c r="G21" s="72"/>
      <c r="H21" s="72"/>
      <c r="I21" s="72" t="s">
        <v>347</v>
      </c>
      <c r="J21" s="72"/>
      <c r="K21" s="72"/>
      <c r="L21" s="72" t="s">
        <v>348</v>
      </c>
      <c r="M21" s="72"/>
      <c r="N21" s="72"/>
      <c r="O21" s="72"/>
      <c r="P21" s="30" t="s">
        <v>48</v>
      </c>
      <c r="Q21" s="30" t="s">
        <v>349</v>
      </c>
      <c r="R21" s="31">
        <v>93.5</v>
      </c>
      <c r="S21" s="31">
        <v>93.5</v>
      </c>
      <c r="T21" s="31">
        <v>85.72</v>
      </c>
      <c r="U21" s="32">
        <f t="shared" si="0"/>
        <v>91.679144385026731</v>
      </c>
    </row>
    <row r="22" spans="1:22" ht="75" customHeight="1" thickTop="1" x14ac:dyDescent="0.2">
      <c r="A22" s="25"/>
      <c r="B22" s="26" t="s">
        <v>87</v>
      </c>
      <c r="C22" s="73" t="s">
        <v>350</v>
      </c>
      <c r="D22" s="73"/>
      <c r="E22" s="73"/>
      <c r="F22" s="73"/>
      <c r="G22" s="73"/>
      <c r="H22" s="73"/>
      <c r="I22" s="73" t="s">
        <v>351</v>
      </c>
      <c r="J22" s="73"/>
      <c r="K22" s="73"/>
      <c r="L22" s="73" t="s">
        <v>352</v>
      </c>
      <c r="M22" s="73"/>
      <c r="N22" s="73"/>
      <c r="O22" s="73"/>
      <c r="P22" s="27" t="s">
        <v>353</v>
      </c>
      <c r="Q22" s="27" t="s">
        <v>91</v>
      </c>
      <c r="R22" s="27">
        <v>60</v>
      </c>
      <c r="S22" s="27">
        <v>60</v>
      </c>
      <c r="T22" s="27">
        <v>55.7</v>
      </c>
      <c r="U22" s="28">
        <f t="shared" si="0"/>
        <v>92.833333333333329</v>
      </c>
    </row>
    <row r="23" spans="1:22" ht="75" customHeight="1" x14ac:dyDescent="0.2">
      <c r="A23" s="25"/>
      <c r="B23" s="29" t="s">
        <v>45</v>
      </c>
      <c r="C23" s="72" t="s">
        <v>45</v>
      </c>
      <c r="D23" s="72"/>
      <c r="E23" s="72"/>
      <c r="F23" s="72"/>
      <c r="G23" s="72"/>
      <c r="H23" s="72"/>
      <c r="I23" s="72" t="s">
        <v>354</v>
      </c>
      <c r="J23" s="72"/>
      <c r="K23" s="72"/>
      <c r="L23" s="72" t="s">
        <v>355</v>
      </c>
      <c r="M23" s="72"/>
      <c r="N23" s="72"/>
      <c r="O23" s="72"/>
      <c r="P23" s="30" t="s">
        <v>353</v>
      </c>
      <c r="Q23" s="30" t="s">
        <v>91</v>
      </c>
      <c r="R23" s="30">
        <v>7</v>
      </c>
      <c r="S23" s="30">
        <v>6.8</v>
      </c>
      <c r="T23" s="30">
        <v>6.4</v>
      </c>
      <c r="U23" s="32">
        <f t="shared" si="0"/>
        <v>94.117647058823536</v>
      </c>
    </row>
    <row r="24" spans="1:22" ht="75" customHeight="1" x14ac:dyDescent="0.2">
      <c r="A24" s="25"/>
      <c r="B24" s="29" t="s">
        <v>45</v>
      </c>
      <c r="C24" s="72" t="s">
        <v>356</v>
      </c>
      <c r="D24" s="72"/>
      <c r="E24" s="72"/>
      <c r="F24" s="72"/>
      <c r="G24" s="72"/>
      <c r="H24" s="72"/>
      <c r="I24" s="72" t="s">
        <v>357</v>
      </c>
      <c r="J24" s="72"/>
      <c r="K24" s="72"/>
      <c r="L24" s="72" t="s">
        <v>358</v>
      </c>
      <c r="M24" s="72"/>
      <c r="N24" s="72"/>
      <c r="O24" s="72"/>
      <c r="P24" s="30" t="s">
        <v>48</v>
      </c>
      <c r="Q24" s="30" t="s">
        <v>91</v>
      </c>
      <c r="R24" s="30">
        <v>100</v>
      </c>
      <c r="S24" s="30">
        <v>100</v>
      </c>
      <c r="T24" s="30">
        <v>87.3</v>
      </c>
      <c r="U24" s="32">
        <f t="shared" si="0"/>
        <v>87.3</v>
      </c>
    </row>
    <row r="25" spans="1:22" ht="75" customHeight="1" x14ac:dyDescent="0.2">
      <c r="A25" s="25"/>
      <c r="B25" s="29" t="s">
        <v>45</v>
      </c>
      <c r="C25" s="72" t="s">
        <v>359</v>
      </c>
      <c r="D25" s="72"/>
      <c r="E25" s="72"/>
      <c r="F25" s="72"/>
      <c r="G25" s="72"/>
      <c r="H25" s="72"/>
      <c r="I25" s="72" t="s">
        <v>360</v>
      </c>
      <c r="J25" s="72"/>
      <c r="K25" s="72"/>
      <c r="L25" s="72" t="s">
        <v>361</v>
      </c>
      <c r="M25" s="72"/>
      <c r="N25" s="72"/>
      <c r="O25" s="72"/>
      <c r="P25" s="30" t="s">
        <v>336</v>
      </c>
      <c r="Q25" s="30" t="s">
        <v>91</v>
      </c>
      <c r="R25" s="31">
        <v>12966966</v>
      </c>
      <c r="S25" s="31">
        <v>3160921</v>
      </c>
      <c r="T25" s="31">
        <v>3632081</v>
      </c>
      <c r="U25" s="32">
        <f t="shared" si="0"/>
        <v>114.90578220714784</v>
      </c>
    </row>
    <row r="26" spans="1:22" ht="75" customHeight="1" x14ac:dyDescent="0.2">
      <c r="A26" s="25"/>
      <c r="B26" s="29" t="s">
        <v>45</v>
      </c>
      <c r="C26" s="72" t="s">
        <v>45</v>
      </c>
      <c r="D26" s="72"/>
      <c r="E26" s="72"/>
      <c r="F26" s="72"/>
      <c r="G26" s="72"/>
      <c r="H26" s="72"/>
      <c r="I26" s="72" t="s">
        <v>362</v>
      </c>
      <c r="J26" s="72"/>
      <c r="K26" s="72"/>
      <c r="L26" s="72" t="s">
        <v>363</v>
      </c>
      <c r="M26" s="72"/>
      <c r="N26" s="72"/>
      <c r="O26" s="72"/>
      <c r="P26" s="30" t="s">
        <v>336</v>
      </c>
      <c r="Q26" s="30" t="s">
        <v>91</v>
      </c>
      <c r="R26" s="31">
        <v>17201308</v>
      </c>
      <c r="S26" s="31">
        <v>4208521</v>
      </c>
      <c r="T26" s="31">
        <v>4714616</v>
      </c>
      <c r="U26" s="32">
        <f t="shared" si="0"/>
        <v>112.02548353685297</v>
      </c>
    </row>
    <row r="27" spans="1:22" ht="75" customHeight="1" x14ac:dyDescent="0.2">
      <c r="A27" s="25"/>
      <c r="B27" s="29" t="s">
        <v>45</v>
      </c>
      <c r="C27" s="72" t="s">
        <v>364</v>
      </c>
      <c r="D27" s="72"/>
      <c r="E27" s="72"/>
      <c r="F27" s="72"/>
      <c r="G27" s="72"/>
      <c r="H27" s="72"/>
      <c r="I27" s="72" t="s">
        <v>365</v>
      </c>
      <c r="J27" s="72"/>
      <c r="K27" s="72"/>
      <c r="L27" s="72" t="s">
        <v>366</v>
      </c>
      <c r="M27" s="72"/>
      <c r="N27" s="72"/>
      <c r="O27" s="72"/>
      <c r="P27" s="30" t="s">
        <v>367</v>
      </c>
      <c r="Q27" s="30" t="s">
        <v>91</v>
      </c>
      <c r="R27" s="30">
        <v>97.71</v>
      </c>
      <c r="S27" s="30">
        <v>97.01</v>
      </c>
      <c r="T27" s="30">
        <v>99.6</v>
      </c>
      <c r="U27" s="32">
        <f t="shared" si="0"/>
        <v>102.66982785279868</v>
      </c>
    </row>
    <row r="28" spans="1:22" ht="75" customHeight="1" x14ac:dyDescent="0.2">
      <c r="A28" s="25"/>
      <c r="B28" s="29" t="s">
        <v>45</v>
      </c>
      <c r="C28" s="72" t="s">
        <v>368</v>
      </c>
      <c r="D28" s="72"/>
      <c r="E28" s="72"/>
      <c r="F28" s="72"/>
      <c r="G28" s="72"/>
      <c r="H28" s="72"/>
      <c r="I28" s="72" t="s">
        <v>369</v>
      </c>
      <c r="J28" s="72"/>
      <c r="K28" s="72"/>
      <c r="L28" s="72" t="s">
        <v>370</v>
      </c>
      <c r="M28" s="72"/>
      <c r="N28" s="72"/>
      <c r="O28" s="72"/>
      <c r="P28" s="30" t="s">
        <v>342</v>
      </c>
      <c r="Q28" s="30" t="s">
        <v>91</v>
      </c>
      <c r="R28" s="30">
        <v>144</v>
      </c>
      <c r="S28" s="30">
        <v>53.87</v>
      </c>
      <c r="T28" s="30">
        <v>12.51</v>
      </c>
      <c r="U28" s="32">
        <f t="shared" si="0"/>
        <v>23.222572860590311</v>
      </c>
    </row>
    <row r="29" spans="1:22" ht="75" customHeight="1" x14ac:dyDescent="0.2">
      <c r="A29" s="25"/>
      <c r="B29" s="29" t="s">
        <v>45</v>
      </c>
      <c r="C29" s="72" t="s">
        <v>371</v>
      </c>
      <c r="D29" s="72"/>
      <c r="E29" s="72"/>
      <c r="F29" s="72"/>
      <c r="G29" s="72"/>
      <c r="H29" s="72"/>
      <c r="I29" s="72" t="s">
        <v>372</v>
      </c>
      <c r="J29" s="72"/>
      <c r="K29" s="72"/>
      <c r="L29" s="72" t="s">
        <v>373</v>
      </c>
      <c r="M29" s="72"/>
      <c r="N29" s="72"/>
      <c r="O29" s="72"/>
      <c r="P29" s="30" t="s">
        <v>374</v>
      </c>
      <c r="Q29" s="30" t="s">
        <v>91</v>
      </c>
      <c r="R29" s="31">
        <v>172000</v>
      </c>
      <c r="S29" s="31">
        <v>43000</v>
      </c>
      <c r="T29" s="31">
        <v>13813</v>
      </c>
      <c r="U29" s="32">
        <f t="shared" si="0"/>
        <v>32.123255813953492</v>
      </c>
    </row>
    <row r="30" spans="1:22" ht="75" customHeight="1" thickBot="1" x14ac:dyDescent="0.25">
      <c r="A30" s="25"/>
      <c r="B30" s="29" t="s">
        <v>45</v>
      </c>
      <c r="C30" s="72" t="s">
        <v>45</v>
      </c>
      <c r="D30" s="72"/>
      <c r="E30" s="72"/>
      <c r="F30" s="72"/>
      <c r="G30" s="72"/>
      <c r="H30" s="72"/>
      <c r="I30" s="72" t="s">
        <v>375</v>
      </c>
      <c r="J30" s="72"/>
      <c r="K30" s="72"/>
      <c r="L30" s="72" t="s">
        <v>376</v>
      </c>
      <c r="M30" s="72"/>
      <c r="N30" s="72"/>
      <c r="O30" s="72"/>
      <c r="P30" s="30" t="s">
        <v>353</v>
      </c>
      <c r="Q30" s="30" t="s">
        <v>91</v>
      </c>
      <c r="R30" s="31">
        <v>733200</v>
      </c>
      <c r="S30" s="31">
        <v>183300</v>
      </c>
      <c r="T30" s="31">
        <v>110863</v>
      </c>
      <c r="U30" s="32">
        <f t="shared" si="0"/>
        <v>60.481723949809052</v>
      </c>
    </row>
    <row r="31" spans="1:22" ht="22.5" customHeight="1" thickTop="1" thickBot="1" x14ac:dyDescent="0.25">
      <c r="B31" s="8" t="s">
        <v>98</v>
      </c>
      <c r="C31" s="9"/>
      <c r="D31" s="9"/>
      <c r="E31" s="9"/>
      <c r="F31" s="9"/>
      <c r="G31" s="9"/>
      <c r="H31" s="10"/>
      <c r="I31" s="10"/>
      <c r="J31" s="10"/>
      <c r="K31" s="10"/>
      <c r="L31" s="10"/>
      <c r="M31" s="10"/>
      <c r="N31" s="10"/>
      <c r="O31" s="10"/>
      <c r="P31" s="10"/>
      <c r="Q31" s="10"/>
      <c r="R31" s="10"/>
      <c r="S31" s="10"/>
      <c r="T31" s="10"/>
      <c r="U31" s="11"/>
      <c r="V31" s="33"/>
    </row>
    <row r="32" spans="1:22" ht="26.25" customHeight="1" thickTop="1" x14ac:dyDescent="0.2">
      <c r="B32" s="34"/>
      <c r="C32" s="35"/>
      <c r="D32" s="35"/>
      <c r="E32" s="35"/>
      <c r="F32" s="35"/>
      <c r="G32" s="35"/>
      <c r="H32" s="36"/>
      <c r="I32" s="36"/>
      <c r="J32" s="36"/>
      <c r="K32" s="36"/>
      <c r="L32" s="36"/>
      <c r="M32" s="36"/>
      <c r="N32" s="36"/>
      <c r="O32" s="36"/>
      <c r="P32" s="37"/>
      <c r="Q32" s="38"/>
      <c r="R32" s="39" t="s">
        <v>99</v>
      </c>
      <c r="S32" s="22" t="s">
        <v>100</v>
      </c>
      <c r="T32" s="39" t="s">
        <v>101</v>
      </c>
      <c r="U32" s="22" t="s">
        <v>102</v>
      </c>
    </row>
    <row r="33" spans="2:21" ht="26.25" customHeight="1" thickBot="1" x14ac:dyDescent="0.25">
      <c r="B33" s="40"/>
      <c r="C33" s="41"/>
      <c r="D33" s="41"/>
      <c r="E33" s="41"/>
      <c r="F33" s="41"/>
      <c r="G33" s="41"/>
      <c r="H33" s="42"/>
      <c r="I33" s="42"/>
      <c r="J33" s="42"/>
      <c r="K33" s="42"/>
      <c r="L33" s="42"/>
      <c r="M33" s="42"/>
      <c r="N33" s="42"/>
      <c r="O33" s="42"/>
      <c r="P33" s="43"/>
      <c r="Q33" s="44"/>
      <c r="R33" s="45" t="s">
        <v>103</v>
      </c>
      <c r="S33" s="44" t="s">
        <v>103</v>
      </c>
      <c r="T33" s="44" t="s">
        <v>103</v>
      </c>
      <c r="U33" s="44" t="s">
        <v>104</v>
      </c>
    </row>
    <row r="34" spans="2:21" ht="13.5" customHeight="1" thickBot="1" x14ac:dyDescent="0.25">
      <c r="B34" s="65" t="s">
        <v>105</v>
      </c>
      <c r="C34" s="66"/>
      <c r="D34" s="66"/>
      <c r="E34" s="46"/>
      <c r="F34" s="46"/>
      <c r="G34" s="46"/>
      <c r="H34" s="47"/>
      <c r="I34" s="47"/>
      <c r="J34" s="47"/>
      <c r="K34" s="47"/>
      <c r="L34" s="47"/>
      <c r="M34" s="47"/>
      <c r="N34" s="47"/>
      <c r="O34" s="47"/>
      <c r="P34" s="48"/>
      <c r="Q34" s="48"/>
      <c r="R34" s="49">
        <f>202644.978661</f>
        <v>202644.978661</v>
      </c>
      <c r="S34" s="49">
        <f>133933.961442</f>
        <v>133933.961442</v>
      </c>
      <c r="T34" s="49">
        <f>137161.8355297</f>
        <v>137161.83552970001</v>
      </c>
      <c r="U34" s="50">
        <f>+IF(ISERR(T34/S34*100),"N/A",T34/S34*100)</f>
        <v>102.410048992016</v>
      </c>
    </row>
    <row r="35" spans="2:21" ht="13.5" customHeight="1" thickBot="1" x14ac:dyDescent="0.25">
      <c r="B35" s="67" t="s">
        <v>106</v>
      </c>
      <c r="C35" s="68"/>
      <c r="D35" s="68"/>
      <c r="E35" s="51"/>
      <c r="F35" s="51"/>
      <c r="G35" s="51"/>
      <c r="H35" s="52"/>
      <c r="I35" s="52"/>
      <c r="J35" s="52"/>
      <c r="K35" s="52"/>
      <c r="L35" s="52"/>
      <c r="M35" s="52"/>
      <c r="N35" s="52"/>
      <c r="O35" s="52"/>
      <c r="P35" s="53"/>
      <c r="Q35" s="53"/>
      <c r="R35" s="49">
        <f>209791.54844832</f>
        <v>209791.54844832001</v>
      </c>
      <c r="S35" s="49">
        <f>138903.21757032</f>
        <v>138903.21757032</v>
      </c>
      <c r="T35" s="49">
        <f>137161.8355297</f>
        <v>137161.83552970001</v>
      </c>
      <c r="U35" s="50">
        <f>+IF(ISERR(T35/S35*100),"N/A",T35/S35*100)</f>
        <v>98.746334267067354</v>
      </c>
    </row>
    <row r="36" spans="2:21" ht="14.85" customHeight="1" thickTop="1" thickBot="1" x14ac:dyDescent="0.25">
      <c r="B36" s="8" t="s">
        <v>107</v>
      </c>
      <c r="C36" s="9"/>
      <c r="D36" s="9"/>
      <c r="E36" s="9"/>
      <c r="F36" s="9"/>
      <c r="G36" s="9"/>
      <c r="H36" s="10"/>
      <c r="I36" s="10"/>
      <c r="J36" s="10"/>
      <c r="K36" s="10"/>
      <c r="L36" s="10"/>
      <c r="M36" s="10"/>
      <c r="N36" s="10"/>
      <c r="O36" s="10"/>
      <c r="P36" s="10"/>
      <c r="Q36" s="10"/>
      <c r="R36" s="10"/>
      <c r="S36" s="10"/>
      <c r="T36" s="10"/>
      <c r="U36" s="11"/>
    </row>
    <row r="37" spans="2:21" ht="44.25" customHeight="1" thickTop="1" x14ac:dyDescent="0.2">
      <c r="B37" s="69" t="s">
        <v>108</v>
      </c>
      <c r="C37" s="70"/>
      <c r="D37" s="70"/>
      <c r="E37" s="70"/>
      <c r="F37" s="70"/>
      <c r="G37" s="70"/>
      <c r="H37" s="70"/>
      <c r="I37" s="70"/>
      <c r="J37" s="70"/>
      <c r="K37" s="70"/>
      <c r="L37" s="70"/>
      <c r="M37" s="70"/>
      <c r="N37" s="70"/>
      <c r="O37" s="70"/>
      <c r="P37" s="70"/>
      <c r="Q37" s="70"/>
      <c r="R37" s="70"/>
      <c r="S37" s="70"/>
      <c r="T37" s="70"/>
      <c r="U37" s="71"/>
    </row>
    <row r="38" spans="2:21" ht="34.5" customHeight="1" x14ac:dyDescent="0.2">
      <c r="B38" s="59" t="s">
        <v>114</v>
      </c>
      <c r="C38" s="60"/>
      <c r="D38" s="60"/>
      <c r="E38" s="60"/>
      <c r="F38" s="60"/>
      <c r="G38" s="60"/>
      <c r="H38" s="60"/>
      <c r="I38" s="60"/>
      <c r="J38" s="60"/>
      <c r="K38" s="60"/>
      <c r="L38" s="60"/>
      <c r="M38" s="60"/>
      <c r="N38" s="60"/>
      <c r="O38" s="60"/>
      <c r="P38" s="60"/>
      <c r="Q38" s="60"/>
      <c r="R38" s="60"/>
      <c r="S38" s="60"/>
      <c r="T38" s="60"/>
      <c r="U38" s="61"/>
    </row>
    <row r="39" spans="2:21" ht="34.5" customHeight="1" x14ac:dyDescent="0.2">
      <c r="B39" s="59" t="s">
        <v>377</v>
      </c>
      <c r="C39" s="60"/>
      <c r="D39" s="60"/>
      <c r="E39" s="60"/>
      <c r="F39" s="60"/>
      <c r="G39" s="60"/>
      <c r="H39" s="60"/>
      <c r="I39" s="60"/>
      <c r="J39" s="60"/>
      <c r="K39" s="60"/>
      <c r="L39" s="60"/>
      <c r="M39" s="60"/>
      <c r="N39" s="60"/>
      <c r="O39" s="60"/>
      <c r="P39" s="60"/>
      <c r="Q39" s="60"/>
      <c r="R39" s="60"/>
      <c r="S39" s="60"/>
      <c r="T39" s="60"/>
      <c r="U39" s="61"/>
    </row>
    <row r="40" spans="2:21" ht="34.5" customHeight="1" x14ac:dyDescent="0.2">
      <c r="B40" s="59" t="s">
        <v>378</v>
      </c>
      <c r="C40" s="60"/>
      <c r="D40" s="60"/>
      <c r="E40" s="60"/>
      <c r="F40" s="60"/>
      <c r="G40" s="60"/>
      <c r="H40" s="60"/>
      <c r="I40" s="60"/>
      <c r="J40" s="60"/>
      <c r="K40" s="60"/>
      <c r="L40" s="60"/>
      <c r="M40" s="60"/>
      <c r="N40" s="60"/>
      <c r="O40" s="60"/>
      <c r="P40" s="60"/>
      <c r="Q40" s="60"/>
      <c r="R40" s="60"/>
      <c r="S40" s="60"/>
      <c r="T40" s="60"/>
      <c r="U40" s="61"/>
    </row>
    <row r="41" spans="2:21" ht="158.1" customHeight="1" x14ac:dyDescent="0.2">
      <c r="B41" s="59" t="s">
        <v>379</v>
      </c>
      <c r="C41" s="60"/>
      <c r="D41" s="60"/>
      <c r="E41" s="60"/>
      <c r="F41" s="60"/>
      <c r="G41" s="60"/>
      <c r="H41" s="60"/>
      <c r="I41" s="60"/>
      <c r="J41" s="60"/>
      <c r="K41" s="60"/>
      <c r="L41" s="60"/>
      <c r="M41" s="60"/>
      <c r="N41" s="60"/>
      <c r="O41" s="60"/>
      <c r="P41" s="60"/>
      <c r="Q41" s="60"/>
      <c r="R41" s="60"/>
      <c r="S41" s="60"/>
      <c r="T41" s="60"/>
      <c r="U41" s="61"/>
    </row>
    <row r="42" spans="2:21" ht="92.45" customHeight="1" x14ac:dyDescent="0.2">
      <c r="B42" s="59" t="s">
        <v>380</v>
      </c>
      <c r="C42" s="60"/>
      <c r="D42" s="60"/>
      <c r="E42" s="60"/>
      <c r="F42" s="60"/>
      <c r="G42" s="60"/>
      <c r="H42" s="60"/>
      <c r="I42" s="60"/>
      <c r="J42" s="60"/>
      <c r="K42" s="60"/>
      <c r="L42" s="60"/>
      <c r="M42" s="60"/>
      <c r="N42" s="60"/>
      <c r="O42" s="60"/>
      <c r="P42" s="60"/>
      <c r="Q42" s="60"/>
      <c r="R42" s="60"/>
      <c r="S42" s="60"/>
      <c r="T42" s="60"/>
      <c r="U42" s="61"/>
    </row>
    <row r="43" spans="2:21" ht="50.45" customHeight="1" x14ac:dyDescent="0.2">
      <c r="B43" s="59" t="s">
        <v>381</v>
      </c>
      <c r="C43" s="60"/>
      <c r="D43" s="60"/>
      <c r="E43" s="60"/>
      <c r="F43" s="60"/>
      <c r="G43" s="60"/>
      <c r="H43" s="60"/>
      <c r="I43" s="60"/>
      <c r="J43" s="60"/>
      <c r="K43" s="60"/>
      <c r="L43" s="60"/>
      <c r="M43" s="60"/>
      <c r="N43" s="60"/>
      <c r="O43" s="60"/>
      <c r="P43" s="60"/>
      <c r="Q43" s="60"/>
      <c r="R43" s="60"/>
      <c r="S43" s="60"/>
      <c r="T43" s="60"/>
      <c r="U43" s="61"/>
    </row>
    <row r="44" spans="2:21" ht="75.95" customHeight="1" x14ac:dyDescent="0.2">
      <c r="B44" s="59" t="s">
        <v>382</v>
      </c>
      <c r="C44" s="60"/>
      <c r="D44" s="60"/>
      <c r="E44" s="60"/>
      <c r="F44" s="60"/>
      <c r="G44" s="60"/>
      <c r="H44" s="60"/>
      <c r="I44" s="60"/>
      <c r="J44" s="60"/>
      <c r="K44" s="60"/>
      <c r="L44" s="60"/>
      <c r="M44" s="60"/>
      <c r="N44" s="60"/>
      <c r="O44" s="60"/>
      <c r="P44" s="60"/>
      <c r="Q44" s="60"/>
      <c r="R44" s="60"/>
      <c r="S44" s="60"/>
      <c r="T44" s="60"/>
      <c r="U44" s="61"/>
    </row>
    <row r="45" spans="2:21" ht="93.2" customHeight="1" x14ac:dyDescent="0.2">
      <c r="B45" s="59" t="s">
        <v>383</v>
      </c>
      <c r="C45" s="60"/>
      <c r="D45" s="60"/>
      <c r="E45" s="60"/>
      <c r="F45" s="60"/>
      <c r="G45" s="60"/>
      <c r="H45" s="60"/>
      <c r="I45" s="60"/>
      <c r="J45" s="60"/>
      <c r="K45" s="60"/>
      <c r="L45" s="60"/>
      <c r="M45" s="60"/>
      <c r="N45" s="60"/>
      <c r="O45" s="60"/>
      <c r="P45" s="60"/>
      <c r="Q45" s="60"/>
      <c r="R45" s="60"/>
      <c r="S45" s="60"/>
      <c r="T45" s="60"/>
      <c r="U45" s="61"/>
    </row>
    <row r="46" spans="2:21" ht="34.5" customHeight="1" x14ac:dyDescent="0.2">
      <c r="B46" s="59" t="s">
        <v>384</v>
      </c>
      <c r="C46" s="60"/>
      <c r="D46" s="60"/>
      <c r="E46" s="60"/>
      <c r="F46" s="60"/>
      <c r="G46" s="60"/>
      <c r="H46" s="60"/>
      <c r="I46" s="60"/>
      <c r="J46" s="60"/>
      <c r="K46" s="60"/>
      <c r="L46" s="60"/>
      <c r="M46" s="60"/>
      <c r="N46" s="60"/>
      <c r="O46" s="60"/>
      <c r="P46" s="60"/>
      <c r="Q46" s="60"/>
      <c r="R46" s="60"/>
      <c r="S46" s="60"/>
      <c r="T46" s="60"/>
      <c r="U46" s="61"/>
    </row>
    <row r="47" spans="2:21" ht="46.7" customHeight="1" x14ac:dyDescent="0.2">
      <c r="B47" s="59" t="s">
        <v>385</v>
      </c>
      <c r="C47" s="60"/>
      <c r="D47" s="60"/>
      <c r="E47" s="60"/>
      <c r="F47" s="60"/>
      <c r="G47" s="60"/>
      <c r="H47" s="60"/>
      <c r="I47" s="60"/>
      <c r="J47" s="60"/>
      <c r="K47" s="60"/>
      <c r="L47" s="60"/>
      <c r="M47" s="60"/>
      <c r="N47" s="60"/>
      <c r="O47" s="60"/>
      <c r="P47" s="60"/>
      <c r="Q47" s="60"/>
      <c r="R47" s="60"/>
      <c r="S47" s="60"/>
      <c r="T47" s="60"/>
      <c r="U47" s="61"/>
    </row>
    <row r="48" spans="2:21" ht="71.099999999999994" customHeight="1" x14ac:dyDescent="0.2">
      <c r="B48" s="59" t="s">
        <v>386</v>
      </c>
      <c r="C48" s="60"/>
      <c r="D48" s="60"/>
      <c r="E48" s="60"/>
      <c r="F48" s="60"/>
      <c r="G48" s="60"/>
      <c r="H48" s="60"/>
      <c r="I48" s="60"/>
      <c r="J48" s="60"/>
      <c r="K48" s="60"/>
      <c r="L48" s="60"/>
      <c r="M48" s="60"/>
      <c r="N48" s="60"/>
      <c r="O48" s="60"/>
      <c r="P48" s="60"/>
      <c r="Q48" s="60"/>
      <c r="R48" s="60"/>
      <c r="S48" s="60"/>
      <c r="T48" s="60"/>
      <c r="U48" s="61"/>
    </row>
    <row r="49" spans="2:21" ht="52.5" customHeight="1" x14ac:dyDescent="0.2">
      <c r="B49" s="59" t="s">
        <v>387</v>
      </c>
      <c r="C49" s="60"/>
      <c r="D49" s="60"/>
      <c r="E49" s="60"/>
      <c r="F49" s="60"/>
      <c r="G49" s="60"/>
      <c r="H49" s="60"/>
      <c r="I49" s="60"/>
      <c r="J49" s="60"/>
      <c r="K49" s="60"/>
      <c r="L49" s="60"/>
      <c r="M49" s="60"/>
      <c r="N49" s="60"/>
      <c r="O49" s="60"/>
      <c r="P49" s="60"/>
      <c r="Q49" s="60"/>
      <c r="R49" s="60"/>
      <c r="S49" s="60"/>
      <c r="T49" s="60"/>
      <c r="U49" s="61"/>
    </row>
    <row r="50" spans="2:21" ht="49.35" customHeight="1" x14ac:dyDescent="0.2">
      <c r="B50" s="59" t="s">
        <v>388</v>
      </c>
      <c r="C50" s="60"/>
      <c r="D50" s="60"/>
      <c r="E50" s="60"/>
      <c r="F50" s="60"/>
      <c r="G50" s="60"/>
      <c r="H50" s="60"/>
      <c r="I50" s="60"/>
      <c r="J50" s="60"/>
      <c r="K50" s="60"/>
      <c r="L50" s="60"/>
      <c r="M50" s="60"/>
      <c r="N50" s="60"/>
      <c r="O50" s="60"/>
      <c r="P50" s="60"/>
      <c r="Q50" s="60"/>
      <c r="R50" s="60"/>
      <c r="S50" s="60"/>
      <c r="T50" s="60"/>
      <c r="U50" s="61"/>
    </row>
    <row r="51" spans="2:21" ht="62.45" customHeight="1" x14ac:dyDescent="0.2">
      <c r="B51" s="59" t="s">
        <v>389</v>
      </c>
      <c r="C51" s="60"/>
      <c r="D51" s="60"/>
      <c r="E51" s="60"/>
      <c r="F51" s="60"/>
      <c r="G51" s="60"/>
      <c r="H51" s="60"/>
      <c r="I51" s="60"/>
      <c r="J51" s="60"/>
      <c r="K51" s="60"/>
      <c r="L51" s="60"/>
      <c r="M51" s="60"/>
      <c r="N51" s="60"/>
      <c r="O51" s="60"/>
      <c r="P51" s="60"/>
      <c r="Q51" s="60"/>
      <c r="R51" s="60"/>
      <c r="S51" s="60"/>
      <c r="T51" s="60"/>
      <c r="U51" s="61"/>
    </row>
    <row r="52" spans="2:21" ht="99.75" customHeight="1" x14ac:dyDescent="0.2">
      <c r="B52" s="59" t="s">
        <v>390</v>
      </c>
      <c r="C52" s="60"/>
      <c r="D52" s="60"/>
      <c r="E52" s="60"/>
      <c r="F52" s="60"/>
      <c r="G52" s="60"/>
      <c r="H52" s="60"/>
      <c r="I52" s="60"/>
      <c r="J52" s="60"/>
      <c r="K52" s="60"/>
      <c r="L52" s="60"/>
      <c r="M52" s="60"/>
      <c r="N52" s="60"/>
      <c r="O52" s="60"/>
      <c r="P52" s="60"/>
      <c r="Q52" s="60"/>
      <c r="R52" s="60"/>
      <c r="S52" s="60"/>
      <c r="T52" s="60"/>
      <c r="U52" s="61"/>
    </row>
    <row r="53" spans="2:21" ht="42.6" customHeight="1" x14ac:dyDescent="0.2">
      <c r="B53" s="59" t="s">
        <v>391</v>
      </c>
      <c r="C53" s="60"/>
      <c r="D53" s="60"/>
      <c r="E53" s="60"/>
      <c r="F53" s="60"/>
      <c r="G53" s="60"/>
      <c r="H53" s="60"/>
      <c r="I53" s="60"/>
      <c r="J53" s="60"/>
      <c r="K53" s="60"/>
      <c r="L53" s="60"/>
      <c r="M53" s="60"/>
      <c r="N53" s="60"/>
      <c r="O53" s="60"/>
      <c r="P53" s="60"/>
      <c r="Q53" s="60"/>
      <c r="R53" s="60"/>
      <c r="S53" s="60"/>
      <c r="T53" s="60"/>
      <c r="U53" s="61"/>
    </row>
    <row r="54" spans="2:21" ht="317.10000000000002" customHeight="1" x14ac:dyDescent="0.2">
      <c r="B54" s="59" t="s">
        <v>392</v>
      </c>
      <c r="C54" s="60"/>
      <c r="D54" s="60"/>
      <c r="E54" s="60"/>
      <c r="F54" s="60"/>
      <c r="G54" s="60"/>
      <c r="H54" s="60"/>
      <c r="I54" s="60"/>
      <c r="J54" s="60"/>
      <c r="K54" s="60"/>
      <c r="L54" s="60"/>
      <c r="M54" s="60"/>
      <c r="N54" s="60"/>
      <c r="O54" s="60"/>
      <c r="P54" s="60"/>
      <c r="Q54" s="60"/>
      <c r="R54" s="60"/>
      <c r="S54" s="60"/>
      <c r="T54" s="60"/>
      <c r="U54" s="61"/>
    </row>
    <row r="55" spans="2:21" ht="100.7" customHeight="1" x14ac:dyDescent="0.2">
      <c r="B55" s="59" t="s">
        <v>393</v>
      </c>
      <c r="C55" s="60"/>
      <c r="D55" s="60"/>
      <c r="E55" s="60"/>
      <c r="F55" s="60"/>
      <c r="G55" s="60"/>
      <c r="H55" s="60"/>
      <c r="I55" s="60"/>
      <c r="J55" s="60"/>
      <c r="K55" s="60"/>
      <c r="L55" s="60"/>
      <c r="M55" s="60"/>
      <c r="N55" s="60"/>
      <c r="O55" s="60"/>
      <c r="P55" s="60"/>
      <c r="Q55" s="60"/>
      <c r="R55" s="60"/>
      <c r="S55" s="60"/>
      <c r="T55" s="60"/>
      <c r="U55" s="61"/>
    </row>
    <row r="56" spans="2:21" ht="49.35" customHeight="1" x14ac:dyDescent="0.2">
      <c r="B56" s="59" t="s">
        <v>394</v>
      </c>
      <c r="C56" s="60"/>
      <c r="D56" s="60"/>
      <c r="E56" s="60"/>
      <c r="F56" s="60"/>
      <c r="G56" s="60"/>
      <c r="H56" s="60"/>
      <c r="I56" s="60"/>
      <c r="J56" s="60"/>
      <c r="K56" s="60"/>
      <c r="L56" s="60"/>
      <c r="M56" s="60"/>
      <c r="N56" s="60"/>
      <c r="O56" s="60"/>
      <c r="P56" s="60"/>
      <c r="Q56" s="60"/>
      <c r="R56" s="60"/>
      <c r="S56" s="60"/>
      <c r="T56" s="60"/>
      <c r="U56" s="61"/>
    </row>
    <row r="57" spans="2:21" ht="79.7" customHeight="1" thickBot="1" x14ac:dyDescent="0.25">
      <c r="B57" s="62" t="s">
        <v>395</v>
      </c>
      <c r="C57" s="63"/>
      <c r="D57" s="63"/>
      <c r="E57" s="63"/>
      <c r="F57" s="63"/>
      <c r="G57" s="63"/>
      <c r="H57" s="63"/>
      <c r="I57" s="63"/>
      <c r="J57" s="63"/>
      <c r="K57" s="63"/>
      <c r="L57" s="63"/>
      <c r="M57" s="63"/>
      <c r="N57" s="63"/>
      <c r="O57" s="63"/>
      <c r="P57" s="63"/>
      <c r="Q57" s="63"/>
      <c r="R57" s="63"/>
      <c r="S57" s="63"/>
      <c r="T57" s="63"/>
      <c r="U57" s="64"/>
    </row>
  </sheetData>
  <mergeCells count="104">
    <mergeCell ref="B8:B10"/>
    <mergeCell ref="C8:H10"/>
    <mergeCell ref="I8:S8"/>
    <mergeCell ref="T8:U8"/>
    <mergeCell ref="I9:K10"/>
    <mergeCell ref="L9:O10"/>
    <mergeCell ref="B1:L1"/>
    <mergeCell ref="D4:H4"/>
    <mergeCell ref="L4:O4"/>
    <mergeCell ref="Q4:R4"/>
    <mergeCell ref="T4:U4"/>
    <mergeCell ref="B5:U5"/>
    <mergeCell ref="T9:T10"/>
    <mergeCell ref="U9:U10"/>
    <mergeCell ref="C11:H11"/>
    <mergeCell ref="I11:K11"/>
    <mergeCell ref="L11:O11"/>
    <mergeCell ref="C6:G6"/>
    <mergeCell ref="K6:M6"/>
    <mergeCell ref="P6:Q6"/>
    <mergeCell ref="T6:U6"/>
    <mergeCell ref="C12:H12"/>
    <mergeCell ref="I12:K12"/>
    <mergeCell ref="L12:O12"/>
    <mergeCell ref="C13:H13"/>
    <mergeCell ref="I13:K13"/>
    <mergeCell ref="L13:O13"/>
    <mergeCell ref="P9:P10"/>
    <mergeCell ref="Q9:Q10"/>
    <mergeCell ref="R9:S9"/>
    <mergeCell ref="C16:H16"/>
    <mergeCell ref="I16:K16"/>
    <mergeCell ref="L16:O16"/>
    <mergeCell ref="C17:H17"/>
    <mergeCell ref="I17:K17"/>
    <mergeCell ref="L17:O17"/>
    <mergeCell ref="C14:H14"/>
    <mergeCell ref="I14:K14"/>
    <mergeCell ref="L14:O14"/>
    <mergeCell ref="C15:H15"/>
    <mergeCell ref="I15:K15"/>
    <mergeCell ref="L15:O15"/>
    <mergeCell ref="C20:H20"/>
    <mergeCell ref="I20:K20"/>
    <mergeCell ref="L20:O20"/>
    <mergeCell ref="C21:H21"/>
    <mergeCell ref="I21:K21"/>
    <mergeCell ref="L21:O21"/>
    <mergeCell ref="C18:H18"/>
    <mergeCell ref="I18:K18"/>
    <mergeCell ref="L18:O18"/>
    <mergeCell ref="C19:H19"/>
    <mergeCell ref="I19:K19"/>
    <mergeCell ref="L19:O19"/>
    <mergeCell ref="C24:H24"/>
    <mergeCell ref="I24:K24"/>
    <mergeCell ref="L24:O24"/>
    <mergeCell ref="C25:H25"/>
    <mergeCell ref="I25:K25"/>
    <mergeCell ref="L25:O25"/>
    <mergeCell ref="C22:H22"/>
    <mergeCell ref="I22:K22"/>
    <mergeCell ref="L22:O22"/>
    <mergeCell ref="C23:H23"/>
    <mergeCell ref="I23:K23"/>
    <mergeCell ref="L23:O23"/>
    <mergeCell ref="C28:H28"/>
    <mergeCell ref="I28:K28"/>
    <mergeCell ref="L28:O28"/>
    <mergeCell ref="C29:H29"/>
    <mergeCell ref="I29:K29"/>
    <mergeCell ref="L29:O29"/>
    <mergeCell ref="C26:H26"/>
    <mergeCell ref="I26:K26"/>
    <mergeCell ref="L26:O26"/>
    <mergeCell ref="C27:H27"/>
    <mergeCell ref="I27:K27"/>
    <mergeCell ref="L27:O27"/>
    <mergeCell ref="B38:U38"/>
    <mergeCell ref="B39:U39"/>
    <mergeCell ref="B40:U40"/>
    <mergeCell ref="B41:U41"/>
    <mergeCell ref="B42:U42"/>
    <mergeCell ref="B43:U43"/>
    <mergeCell ref="C30:H30"/>
    <mergeCell ref="I30:K30"/>
    <mergeCell ref="L30:O30"/>
    <mergeCell ref="B34:D34"/>
    <mergeCell ref="B35:D35"/>
    <mergeCell ref="B37:U37"/>
    <mergeCell ref="B56:U56"/>
    <mergeCell ref="B57:U57"/>
    <mergeCell ref="B50:U50"/>
    <mergeCell ref="B51:U51"/>
    <mergeCell ref="B52:U52"/>
    <mergeCell ref="B53:U53"/>
    <mergeCell ref="B54:U54"/>
    <mergeCell ref="B55:U55"/>
    <mergeCell ref="B44:U44"/>
    <mergeCell ref="B45:U45"/>
    <mergeCell ref="B46:U46"/>
    <mergeCell ref="B47:U47"/>
    <mergeCell ref="B48:U48"/>
    <mergeCell ref="B49:U49"/>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9"/>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396</v>
      </c>
      <c r="D4" s="99" t="s">
        <v>397</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273</v>
      </c>
      <c r="L6" s="80"/>
      <c r="M6" s="80"/>
      <c r="N6" s="19"/>
      <c r="O6" s="20" t="s">
        <v>20</v>
      </c>
      <c r="P6" s="80" t="s">
        <v>398</v>
      </c>
      <c r="Q6" s="80"/>
      <c r="R6" s="21"/>
      <c r="S6" s="20" t="s">
        <v>22</v>
      </c>
      <c r="T6" s="80" t="s">
        <v>399</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400</v>
      </c>
      <c r="D11" s="73"/>
      <c r="E11" s="73"/>
      <c r="F11" s="73"/>
      <c r="G11" s="73"/>
      <c r="H11" s="73"/>
      <c r="I11" s="73" t="s">
        <v>46</v>
      </c>
      <c r="J11" s="73"/>
      <c r="K11" s="73"/>
      <c r="L11" s="73" t="s">
        <v>47</v>
      </c>
      <c r="M11" s="73"/>
      <c r="N11" s="73"/>
      <c r="O11" s="73"/>
      <c r="P11" s="27" t="s">
        <v>48</v>
      </c>
      <c r="Q11" s="27" t="s">
        <v>49</v>
      </c>
      <c r="R11" s="54">
        <v>12</v>
      </c>
      <c r="S11" s="54" t="s">
        <v>44</v>
      </c>
      <c r="T11" s="54" t="s">
        <v>44</v>
      </c>
      <c r="U11" s="28" t="str">
        <f>IF(ISERR((S11-T11)*100/S11+100),"N/A",(S11-T11)*100/S11+100)</f>
        <v>N/A</v>
      </c>
    </row>
    <row r="12" spans="1:34" ht="75" customHeight="1" thickBot="1" x14ac:dyDescent="0.25">
      <c r="A12" s="25"/>
      <c r="B12" s="29" t="s">
        <v>45</v>
      </c>
      <c r="C12" s="72" t="s">
        <v>45</v>
      </c>
      <c r="D12" s="72"/>
      <c r="E12" s="72"/>
      <c r="F12" s="72"/>
      <c r="G12" s="72"/>
      <c r="H12" s="72"/>
      <c r="I12" s="72" t="s">
        <v>401</v>
      </c>
      <c r="J12" s="72"/>
      <c r="K12" s="72"/>
      <c r="L12" s="72" t="s">
        <v>402</v>
      </c>
      <c r="M12" s="72"/>
      <c r="N12" s="72"/>
      <c r="O12" s="72"/>
      <c r="P12" s="30" t="s">
        <v>403</v>
      </c>
      <c r="Q12" s="30" t="s">
        <v>49</v>
      </c>
      <c r="R12" s="30">
        <v>30.16</v>
      </c>
      <c r="S12" s="30" t="s">
        <v>44</v>
      </c>
      <c r="T12" s="30" t="s">
        <v>44</v>
      </c>
      <c r="U12" s="32" t="str">
        <f>IF(ISERR((S12-T12)*100/S12+100),"N/A",(S12-T12)*100/S12+100)</f>
        <v>N/A</v>
      </c>
    </row>
    <row r="13" spans="1:34" ht="75" customHeight="1" thickTop="1" x14ac:dyDescent="0.2">
      <c r="A13" s="25"/>
      <c r="B13" s="26" t="s">
        <v>62</v>
      </c>
      <c r="C13" s="73" t="s">
        <v>404</v>
      </c>
      <c r="D13" s="73"/>
      <c r="E13" s="73"/>
      <c r="F13" s="73"/>
      <c r="G13" s="73"/>
      <c r="H13" s="73"/>
      <c r="I13" s="73" t="s">
        <v>405</v>
      </c>
      <c r="J13" s="73"/>
      <c r="K13" s="73"/>
      <c r="L13" s="73" t="s">
        <v>406</v>
      </c>
      <c r="M13" s="73"/>
      <c r="N13" s="73"/>
      <c r="O13" s="73"/>
      <c r="P13" s="27" t="s">
        <v>407</v>
      </c>
      <c r="Q13" s="27" t="s">
        <v>408</v>
      </c>
      <c r="R13" s="27">
        <v>5.42</v>
      </c>
      <c r="S13" s="27" t="s">
        <v>44</v>
      </c>
      <c r="T13" s="27" t="s">
        <v>44</v>
      </c>
      <c r="U13" s="28" t="str">
        <f t="shared" ref="U13:U26" si="0">IF(ISERR(T13/S13*100),"N/A",T13/S13*100)</f>
        <v>N/A</v>
      </c>
    </row>
    <row r="14" spans="1:34" ht="75" customHeight="1" thickBot="1" x14ac:dyDescent="0.25">
      <c r="A14" s="25"/>
      <c r="B14" s="29" t="s">
        <v>45</v>
      </c>
      <c r="C14" s="72" t="s">
        <v>45</v>
      </c>
      <c r="D14" s="72"/>
      <c r="E14" s="72"/>
      <c r="F14" s="72"/>
      <c r="G14" s="72"/>
      <c r="H14" s="72"/>
      <c r="I14" s="72" t="s">
        <v>409</v>
      </c>
      <c r="J14" s="72"/>
      <c r="K14" s="72"/>
      <c r="L14" s="72" t="s">
        <v>410</v>
      </c>
      <c r="M14" s="72"/>
      <c r="N14" s="72"/>
      <c r="O14" s="72"/>
      <c r="P14" s="30" t="s">
        <v>411</v>
      </c>
      <c r="Q14" s="30" t="s">
        <v>412</v>
      </c>
      <c r="R14" s="30">
        <v>93.37</v>
      </c>
      <c r="S14" s="30" t="s">
        <v>44</v>
      </c>
      <c r="T14" s="30" t="s">
        <v>44</v>
      </c>
      <c r="U14" s="32" t="str">
        <f t="shared" si="0"/>
        <v>N/A</v>
      </c>
    </row>
    <row r="15" spans="1:34" ht="75" customHeight="1" thickTop="1" x14ac:dyDescent="0.2">
      <c r="A15" s="25"/>
      <c r="B15" s="26" t="s">
        <v>71</v>
      </c>
      <c r="C15" s="73" t="s">
        <v>413</v>
      </c>
      <c r="D15" s="73"/>
      <c r="E15" s="73"/>
      <c r="F15" s="73"/>
      <c r="G15" s="73"/>
      <c r="H15" s="73"/>
      <c r="I15" s="73" t="s">
        <v>414</v>
      </c>
      <c r="J15" s="73"/>
      <c r="K15" s="73"/>
      <c r="L15" s="73" t="s">
        <v>415</v>
      </c>
      <c r="M15" s="73"/>
      <c r="N15" s="73"/>
      <c r="O15" s="73"/>
      <c r="P15" s="27" t="s">
        <v>48</v>
      </c>
      <c r="Q15" s="27" t="s">
        <v>139</v>
      </c>
      <c r="R15" s="27">
        <v>101</v>
      </c>
      <c r="S15" s="27">
        <v>118</v>
      </c>
      <c r="T15" s="27">
        <v>90.69</v>
      </c>
      <c r="U15" s="28">
        <f t="shared" si="0"/>
        <v>76.855932203389827</v>
      </c>
    </row>
    <row r="16" spans="1:34" ht="75" customHeight="1" x14ac:dyDescent="0.2">
      <c r="A16" s="25"/>
      <c r="B16" s="29" t="s">
        <v>45</v>
      </c>
      <c r="C16" s="72" t="s">
        <v>416</v>
      </c>
      <c r="D16" s="72"/>
      <c r="E16" s="72"/>
      <c r="F16" s="72"/>
      <c r="G16" s="72"/>
      <c r="H16" s="72"/>
      <c r="I16" s="72" t="s">
        <v>417</v>
      </c>
      <c r="J16" s="72"/>
      <c r="K16" s="72"/>
      <c r="L16" s="72" t="s">
        <v>418</v>
      </c>
      <c r="M16" s="72"/>
      <c r="N16" s="72"/>
      <c r="O16" s="72"/>
      <c r="P16" s="30" t="s">
        <v>419</v>
      </c>
      <c r="Q16" s="30" t="s">
        <v>139</v>
      </c>
      <c r="R16" s="30">
        <v>4</v>
      </c>
      <c r="S16" s="30">
        <v>4</v>
      </c>
      <c r="T16" s="30">
        <v>8.0299999999999994</v>
      </c>
      <c r="U16" s="32">
        <f t="shared" si="0"/>
        <v>200.74999999999997</v>
      </c>
    </row>
    <row r="17" spans="1:22" ht="75" customHeight="1" thickBot="1" x14ac:dyDescent="0.25">
      <c r="A17" s="25"/>
      <c r="B17" s="29" t="s">
        <v>45</v>
      </c>
      <c r="C17" s="72" t="s">
        <v>420</v>
      </c>
      <c r="D17" s="72"/>
      <c r="E17" s="72"/>
      <c r="F17" s="72"/>
      <c r="G17" s="72"/>
      <c r="H17" s="72"/>
      <c r="I17" s="72" t="s">
        <v>421</v>
      </c>
      <c r="J17" s="72"/>
      <c r="K17" s="72"/>
      <c r="L17" s="72" t="s">
        <v>422</v>
      </c>
      <c r="M17" s="72"/>
      <c r="N17" s="72"/>
      <c r="O17" s="72"/>
      <c r="P17" s="30" t="s">
        <v>48</v>
      </c>
      <c r="Q17" s="30" t="s">
        <v>139</v>
      </c>
      <c r="R17" s="30">
        <v>3.51</v>
      </c>
      <c r="S17" s="30">
        <v>2</v>
      </c>
      <c r="T17" s="30">
        <v>5.86</v>
      </c>
      <c r="U17" s="32">
        <f t="shared" si="0"/>
        <v>293</v>
      </c>
    </row>
    <row r="18" spans="1:22" ht="75" customHeight="1" thickTop="1" x14ac:dyDescent="0.2">
      <c r="A18" s="25"/>
      <c r="B18" s="26" t="s">
        <v>87</v>
      </c>
      <c r="C18" s="73" t="s">
        <v>423</v>
      </c>
      <c r="D18" s="73"/>
      <c r="E18" s="73"/>
      <c r="F18" s="73"/>
      <c r="G18" s="73"/>
      <c r="H18" s="73"/>
      <c r="I18" s="73" t="s">
        <v>424</v>
      </c>
      <c r="J18" s="73"/>
      <c r="K18" s="73"/>
      <c r="L18" s="73" t="s">
        <v>425</v>
      </c>
      <c r="M18" s="73"/>
      <c r="N18" s="73"/>
      <c r="O18" s="73"/>
      <c r="P18" s="27" t="s">
        <v>48</v>
      </c>
      <c r="Q18" s="27" t="s">
        <v>91</v>
      </c>
      <c r="R18" s="27">
        <v>100</v>
      </c>
      <c r="S18" s="27">
        <v>40</v>
      </c>
      <c r="T18" s="27">
        <v>32.15</v>
      </c>
      <c r="U18" s="28">
        <f t="shared" si="0"/>
        <v>80.375</v>
      </c>
    </row>
    <row r="19" spans="1:22" ht="75" customHeight="1" x14ac:dyDescent="0.2">
      <c r="A19" s="25"/>
      <c r="B19" s="29" t="s">
        <v>45</v>
      </c>
      <c r="C19" s="72" t="s">
        <v>426</v>
      </c>
      <c r="D19" s="72"/>
      <c r="E19" s="72"/>
      <c r="F19" s="72"/>
      <c r="G19" s="72"/>
      <c r="H19" s="72"/>
      <c r="I19" s="72" t="s">
        <v>427</v>
      </c>
      <c r="J19" s="72"/>
      <c r="K19" s="72"/>
      <c r="L19" s="72" t="s">
        <v>428</v>
      </c>
      <c r="M19" s="72"/>
      <c r="N19" s="72"/>
      <c r="O19" s="72"/>
      <c r="P19" s="30" t="s">
        <v>48</v>
      </c>
      <c r="Q19" s="30" t="s">
        <v>91</v>
      </c>
      <c r="R19" s="30">
        <v>100</v>
      </c>
      <c r="S19" s="30">
        <v>32</v>
      </c>
      <c r="T19" s="30">
        <v>28.93</v>
      </c>
      <c r="U19" s="32">
        <f t="shared" si="0"/>
        <v>90.40625</v>
      </c>
    </row>
    <row r="20" spans="1:22" ht="75" customHeight="1" x14ac:dyDescent="0.2">
      <c r="A20" s="25"/>
      <c r="B20" s="29" t="s">
        <v>45</v>
      </c>
      <c r="C20" s="72" t="s">
        <v>429</v>
      </c>
      <c r="D20" s="72"/>
      <c r="E20" s="72"/>
      <c r="F20" s="72"/>
      <c r="G20" s="72"/>
      <c r="H20" s="72"/>
      <c r="I20" s="72" t="s">
        <v>430</v>
      </c>
      <c r="J20" s="72"/>
      <c r="K20" s="72"/>
      <c r="L20" s="72" t="s">
        <v>431</v>
      </c>
      <c r="M20" s="72"/>
      <c r="N20" s="72"/>
      <c r="O20" s="72"/>
      <c r="P20" s="30" t="s">
        <v>48</v>
      </c>
      <c r="Q20" s="30" t="s">
        <v>91</v>
      </c>
      <c r="R20" s="30">
        <v>100</v>
      </c>
      <c r="S20" s="30">
        <v>34</v>
      </c>
      <c r="T20" s="30">
        <v>32.67</v>
      </c>
      <c r="U20" s="32">
        <f t="shared" si="0"/>
        <v>96.088235294117652</v>
      </c>
    </row>
    <row r="21" spans="1:22" ht="75" customHeight="1" x14ac:dyDescent="0.2">
      <c r="A21" s="25"/>
      <c r="B21" s="29" t="s">
        <v>45</v>
      </c>
      <c r="C21" s="72" t="s">
        <v>432</v>
      </c>
      <c r="D21" s="72"/>
      <c r="E21" s="72"/>
      <c r="F21" s="72"/>
      <c r="G21" s="72"/>
      <c r="H21" s="72"/>
      <c r="I21" s="72" t="s">
        <v>433</v>
      </c>
      <c r="J21" s="72"/>
      <c r="K21" s="72"/>
      <c r="L21" s="72" t="s">
        <v>434</v>
      </c>
      <c r="M21" s="72"/>
      <c r="N21" s="72"/>
      <c r="O21" s="72"/>
      <c r="P21" s="30" t="s">
        <v>48</v>
      </c>
      <c r="Q21" s="30" t="s">
        <v>91</v>
      </c>
      <c r="R21" s="30">
        <v>100</v>
      </c>
      <c r="S21" s="30">
        <v>34</v>
      </c>
      <c r="T21" s="30">
        <v>30.54</v>
      </c>
      <c r="U21" s="32">
        <f t="shared" si="0"/>
        <v>89.823529411764696</v>
      </c>
    </row>
    <row r="22" spans="1:22" ht="75" customHeight="1" x14ac:dyDescent="0.2">
      <c r="A22" s="25"/>
      <c r="B22" s="29" t="s">
        <v>45</v>
      </c>
      <c r="C22" s="72" t="s">
        <v>435</v>
      </c>
      <c r="D22" s="72"/>
      <c r="E22" s="72"/>
      <c r="F22" s="72"/>
      <c r="G22" s="72"/>
      <c r="H22" s="72"/>
      <c r="I22" s="72" t="s">
        <v>436</v>
      </c>
      <c r="J22" s="72"/>
      <c r="K22" s="72"/>
      <c r="L22" s="72" t="s">
        <v>437</v>
      </c>
      <c r="M22" s="72"/>
      <c r="N22" s="72"/>
      <c r="O22" s="72"/>
      <c r="P22" s="30" t="s">
        <v>48</v>
      </c>
      <c r="Q22" s="30" t="s">
        <v>91</v>
      </c>
      <c r="R22" s="30">
        <v>100</v>
      </c>
      <c r="S22" s="30">
        <v>32</v>
      </c>
      <c r="T22" s="30">
        <v>25.52</v>
      </c>
      <c r="U22" s="32">
        <f t="shared" si="0"/>
        <v>79.75</v>
      </c>
    </row>
    <row r="23" spans="1:22" ht="75" customHeight="1" x14ac:dyDescent="0.2">
      <c r="A23" s="25"/>
      <c r="B23" s="29" t="s">
        <v>45</v>
      </c>
      <c r="C23" s="72" t="s">
        <v>438</v>
      </c>
      <c r="D23" s="72"/>
      <c r="E23" s="72"/>
      <c r="F23" s="72"/>
      <c r="G23" s="72"/>
      <c r="H23" s="72"/>
      <c r="I23" s="72" t="s">
        <v>439</v>
      </c>
      <c r="J23" s="72"/>
      <c r="K23" s="72"/>
      <c r="L23" s="72" t="s">
        <v>440</v>
      </c>
      <c r="M23" s="72"/>
      <c r="N23" s="72"/>
      <c r="O23" s="72"/>
      <c r="P23" s="30" t="s">
        <v>441</v>
      </c>
      <c r="Q23" s="30" t="s">
        <v>442</v>
      </c>
      <c r="R23" s="30">
        <v>100</v>
      </c>
      <c r="S23" s="30" t="s">
        <v>44</v>
      </c>
      <c r="T23" s="30" t="s">
        <v>44</v>
      </c>
      <c r="U23" s="32" t="str">
        <f t="shared" si="0"/>
        <v>N/A</v>
      </c>
    </row>
    <row r="24" spans="1:22" ht="75" customHeight="1" x14ac:dyDescent="0.2">
      <c r="A24" s="25"/>
      <c r="B24" s="29" t="s">
        <v>45</v>
      </c>
      <c r="C24" s="72" t="s">
        <v>443</v>
      </c>
      <c r="D24" s="72"/>
      <c r="E24" s="72"/>
      <c r="F24" s="72"/>
      <c r="G24" s="72"/>
      <c r="H24" s="72"/>
      <c r="I24" s="72" t="s">
        <v>444</v>
      </c>
      <c r="J24" s="72"/>
      <c r="K24" s="72"/>
      <c r="L24" s="72" t="s">
        <v>445</v>
      </c>
      <c r="M24" s="72"/>
      <c r="N24" s="72"/>
      <c r="O24" s="72"/>
      <c r="P24" s="30" t="s">
        <v>407</v>
      </c>
      <c r="Q24" s="30" t="s">
        <v>91</v>
      </c>
      <c r="R24" s="30">
        <v>5</v>
      </c>
      <c r="S24" s="30">
        <v>3.38</v>
      </c>
      <c r="T24" s="30">
        <v>76.349999999999994</v>
      </c>
      <c r="U24" s="32">
        <f t="shared" si="0"/>
        <v>2258.8757396449705</v>
      </c>
    </row>
    <row r="25" spans="1:22" ht="75" customHeight="1" x14ac:dyDescent="0.2">
      <c r="A25" s="25"/>
      <c r="B25" s="29" t="s">
        <v>45</v>
      </c>
      <c r="C25" s="72" t="s">
        <v>446</v>
      </c>
      <c r="D25" s="72"/>
      <c r="E25" s="72"/>
      <c r="F25" s="72"/>
      <c r="G25" s="72"/>
      <c r="H25" s="72"/>
      <c r="I25" s="72" t="s">
        <v>447</v>
      </c>
      <c r="J25" s="72"/>
      <c r="K25" s="72"/>
      <c r="L25" s="72" t="s">
        <v>448</v>
      </c>
      <c r="M25" s="72"/>
      <c r="N25" s="72"/>
      <c r="O25" s="72"/>
      <c r="P25" s="30" t="s">
        <v>48</v>
      </c>
      <c r="Q25" s="30" t="s">
        <v>91</v>
      </c>
      <c r="R25" s="30">
        <v>22.22</v>
      </c>
      <c r="S25" s="30">
        <v>5.2</v>
      </c>
      <c r="T25" s="30">
        <v>23.37</v>
      </c>
      <c r="U25" s="32">
        <f t="shared" si="0"/>
        <v>449.42307692307696</v>
      </c>
    </row>
    <row r="26" spans="1:22" ht="75" customHeight="1" thickBot="1" x14ac:dyDescent="0.25">
      <c r="A26" s="25"/>
      <c r="B26" s="29" t="s">
        <v>45</v>
      </c>
      <c r="C26" s="72" t="s">
        <v>45</v>
      </c>
      <c r="D26" s="72"/>
      <c r="E26" s="72"/>
      <c r="F26" s="72"/>
      <c r="G26" s="72"/>
      <c r="H26" s="72"/>
      <c r="I26" s="72" t="s">
        <v>449</v>
      </c>
      <c r="J26" s="72"/>
      <c r="K26" s="72"/>
      <c r="L26" s="72" t="s">
        <v>450</v>
      </c>
      <c r="M26" s="72"/>
      <c r="N26" s="72"/>
      <c r="O26" s="72"/>
      <c r="P26" s="30" t="s">
        <v>451</v>
      </c>
      <c r="Q26" s="30" t="s">
        <v>91</v>
      </c>
      <c r="R26" s="30">
        <v>35.200000000000003</v>
      </c>
      <c r="S26" s="30">
        <v>5.4</v>
      </c>
      <c r="T26" s="30">
        <v>55.89</v>
      </c>
      <c r="U26" s="32">
        <f t="shared" si="0"/>
        <v>1035</v>
      </c>
    </row>
    <row r="27" spans="1:22" ht="22.5" customHeight="1" thickTop="1" thickBot="1" x14ac:dyDescent="0.25">
      <c r="B27" s="8" t="s">
        <v>98</v>
      </c>
      <c r="C27" s="9"/>
      <c r="D27" s="9"/>
      <c r="E27" s="9"/>
      <c r="F27" s="9"/>
      <c r="G27" s="9"/>
      <c r="H27" s="10"/>
      <c r="I27" s="10"/>
      <c r="J27" s="10"/>
      <c r="K27" s="10"/>
      <c r="L27" s="10"/>
      <c r="M27" s="10"/>
      <c r="N27" s="10"/>
      <c r="O27" s="10"/>
      <c r="P27" s="10"/>
      <c r="Q27" s="10"/>
      <c r="R27" s="10"/>
      <c r="S27" s="10"/>
      <c r="T27" s="10"/>
      <c r="U27" s="11"/>
      <c r="V27" s="33"/>
    </row>
    <row r="28" spans="1:22" ht="26.25" customHeight="1" thickTop="1" x14ac:dyDescent="0.2">
      <c r="B28" s="34"/>
      <c r="C28" s="35"/>
      <c r="D28" s="35"/>
      <c r="E28" s="35"/>
      <c r="F28" s="35"/>
      <c r="G28" s="35"/>
      <c r="H28" s="36"/>
      <c r="I28" s="36"/>
      <c r="J28" s="36"/>
      <c r="K28" s="36"/>
      <c r="L28" s="36"/>
      <c r="M28" s="36"/>
      <c r="N28" s="36"/>
      <c r="O28" s="36"/>
      <c r="P28" s="37"/>
      <c r="Q28" s="38"/>
      <c r="R28" s="39" t="s">
        <v>99</v>
      </c>
      <c r="S28" s="22" t="s">
        <v>100</v>
      </c>
      <c r="T28" s="39" t="s">
        <v>101</v>
      </c>
      <c r="U28" s="22" t="s">
        <v>102</v>
      </c>
    </row>
    <row r="29" spans="1:22" ht="26.25" customHeight="1" thickBot="1" x14ac:dyDescent="0.25">
      <c r="B29" s="40"/>
      <c r="C29" s="41"/>
      <c r="D29" s="41"/>
      <c r="E29" s="41"/>
      <c r="F29" s="41"/>
      <c r="G29" s="41"/>
      <c r="H29" s="42"/>
      <c r="I29" s="42"/>
      <c r="J29" s="42"/>
      <c r="K29" s="42"/>
      <c r="L29" s="42"/>
      <c r="M29" s="42"/>
      <c r="N29" s="42"/>
      <c r="O29" s="42"/>
      <c r="P29" s="43"/>
      <c r="Q29" s="44"/>
      <c r="R29" s="45" t="s">
        <v>103</v>
      </c>
      <c r="S29" s="44" t="s">
        <v>103</v>
      </c>
      <c r="T29" s="44" t="s">
        <v>103</v>
      </c>
      <c r="U29" s="44" t="s">
        <v>104</v>
      </c>
    </row>
    <row r="30" spans="1:22" ht="13.5" customHeight="1" thickBot="1" x14ac:dyDescent="0.25">
      <c r="B30" s="65" t="s">
        <v>105</v>
      </c>
      <c r="C30" s="66"/>
      <c r="D30" s="66"/>
      <c r="E30" s="46"/>
      <c r="F30" s="46"/>
      <c r="G30" s="46"/>
      <c r="H30" s="47"/>
      <c r="I30" s="47"/>
      <c r="J30" s="47"/>
      <c r="K30" s="47"/>
      <c r="L30" s="47"/>
      <c r="M30" s="47"/>
      <c r="N30" s="47"/>
      <c r="O30" s="47"/>
      <c r="P30" s="48"/>
      <c r="Q30" s="48"/>
      <c r="R30" s="49">
        <f>2079.426279</f>
        <v>2079.4262789999998</v>
      </c>
      <c r="S30" s="49">
        <f>1422.372314</f>
        <v>1422.372314</v>
      </c>
      <c r="T30" s="49">
        <f>1252.83756798</f>
        <v>1252.8375679799999</v>
      </c>
      <c r="U30" s="50">
        <f>+IF(ISERR(T30/S30*100),"N/A",T30/S30*100)</f>
        <v>88.080846037896094</v>
      </c>
    </row>
    <row r="31" spans="1:22" ht="13.5" customHeight="1" thickBot="1" x14ac:dyDescent="0.25">
      <c r="B31" s="67" t="s">
        <v>106</v>
      </c>
      <c r="C31" s="68"/>
      <c r="D31" s="68"/>
      <c r="E31" s="51"/>
      <c r="F31" s="51"/>
      <c r="G31" s="51"/>
      <c r="H31" s="52"/>
      <c r="I31" s="52"/>
      <c r="J31" s="52"/>
      <c r="K31" s="52"/>
      <c r="L31" s="52"/>
      <c r="M31" s="52"/>
      <c r="N31" s="52"/>
      <c r="O31" s="52"/>
      <c r="P31" s="53"/>
      <c r="Q31" s="53"/>
      <c r="R31" s="49">
        <f>1940.810627</f>
        <v>1940.8106270000001</v>
      </c>
      <c r="S31" s="49">
        <f>1362.92872</f>
        <v>1362.9287200000001</v>
      </c>
      <c r="T31" s="49">
        <f>1252.83756798</f>
        <v>1252.8375679799999</v>
      </c>
      <c r="U31" s="50">
        <f>+IF(ISERR(T31/S31*100),"N/A",T31/S31*100)</f>
        <v>91.922457102525485</v>
      </c>
    </row>
    <row r="32" spans="1:22" ht="14.85" customHeight="1" thickTop="1" thickBot="1" x14ac:dyDescent="0.25">
      <c r="B32" s="8" t="s">
        <v>107</v>
      </c>
      <c r="C32" s="9"/>
      <c r="D32" s="9"/>
      <c r="E32" s="9"/>
      <c r="F32" s="9"/>
      <c r="G32" s="9"/>
      <c r="H32" s="10"/>
      <c r="I32" s="10"/>
      <c r="J32" s="10"/>
      <c r="K32" s="10"/>
      <c r="L32" s="10"/>
      <c r="M32" s="10"/>
      <c r="N32" s="10"/>
      <c r="O32" s="10"/>
      <c r="P32" s="10"/>
      <c r="Q32" s="10"/>
      <c r="R32" s="10"/>
      <c r="S32" s="10"/>
      <c r="T32" s="10"/>
      <c r="U32" s="11"/>
    </row>
    <row r="33" spans="2:21" ht="44.25" customHeight="1" thickTop="1" x14ac:dyDescent="0.2">
      <c r="B33" s="69" t="s">
        <v>108</v>
      </c>
      <c r="C33" s="70"/>
      <c r="D33" s="70"/>
      <c r="E33" s="70"/>
      <c r="F33" s="70"/>
      <c r="G33" s="70"/>
      <c r="H33" s="70"/>
      <c r="I33" s="70"/>
      <c r="J33" s="70"/>
      <c r="K33" s="70"/>
      <c r="L33" s="70"/>
      <c r="M33" s="70"/>
      <c r="N33" s="70"/>
      <c r="O33" s="70"/>
      <c r="P33" s="70"/>
      <c r="Q33" s="70"/>
      <c r="R33" s="70"/>
      <c r="S33" s="70"/>
      <c r="T33" s="70"/>
      <c r="U33" s="71"/>
    </row>
    <row r="34" spans="2:21" ht="34.5" customHeight="1" x14ac:dyDescent="0.2">
      <c r="B34" s="59" t="s">
        <v>110</v>
      </c>
      <c r="C34" s="60"/>
      <c r="D34" s="60"/>
      <c r="E34" s="60"/>
      <c r="F34" s="60"/>
      <c r="G34" s="60"/>
      <c r="H34" s="60"/>
      <c r="I34" s="60"/>
      <c r="J34" s="60"/>
      <c r="K34" s="60"/>
      <c r="L34" s="60"/>
      <c r="M34" s="60"/>
      <c r="N34" s="60"/>
      <c r="O34" s="60"/>
      <c r="P34" s="60"/>
      <c r="Q34" s="60"/>
      <c r="R34" s="60"/>
      <c r="S34" s="60"/>
      <c r="T34" s="60"/>
      <c r="U34" s="61"/>
    </row>
    <row r="35" spans="2:21" ht="34.5" customHeight="1" x14ac:dyDescent="0.2">
      <c r="B35" s="59" t="s">
        <v>452</v>
      </c>
      <c r="C35" s="60"/>
      <c r="D35" s="60"/>
      <c r="E35" s="60"/>
      <c r="F35" s="60"/>
      <c r="G35" s="60"/>
      <c r="H35" s="60"/>
      <c r="I35" s="60"/>
      <c r="J35" s="60"/>
      <c r="K35" s="60"/>
      <c r="L35" s="60"/>
      <c r="M35" s="60"/>
      <c r="N35" s="60"/>
      <c r="O35" s="60"/>
      <c r="P35" s="60"/>
      <c r="Q35" s="60"/>
      <c r="R35" s="60"/>
      <c r="S35" s="60"/>
      <c r="T35" s="60"/>
      <c r="U35" s="61"/>
    </row>
    <row r="36" spans="2:21" ht="34.5" customHeight="1" x14ac:dyDescent="0.2">
      <c r="B36" s="59" t="s">
        <v>453</v>
      </c>
      <c r="C36" s="60"/>
      <c r="D36" s="60"/>
      <c r="E36" s="60"/>
      <c r="F36" s="60"/>
      <c r="G36" s="60"/>
      <c r="H36" s="60"/>
      <c r="I36" s="60"/>
      <c r="J36" s="60"/>
      <c r="K36" s="60"/>
      <c r="L36" s="60"/>
      <c r="M36" s="60"/>
      <c r="N36" s="60"/>
      <c r="O36" s="60"/>
      <c r="P36" s="60"/>
      <c r="Q36" s="60"/>
      <c r="R36" s="60"/>
      <c r="S36" s="60"/>
      <c r="T36" s="60"/>
      <c r="U36" s="61"/>
    </row>
    <row r="37" spans="2:21" ht="34.5" customHeight="1" x14ac:dyDescent="0.2">
      <c r="B37" s="59" t="s">
        <v>454</v>
      </c>
      <c r="C37" s="60"/>
      <c r="D37" s="60"/>
      <c r="E37" s="60"/>
      <c r="F37" s="60"/>
      <c r="G37" s="60"/>
      <c r="H37" s="60"/>
      <c r="I37" s="60"/>
      <c r="J37" s="60"/>
      <c r="K37" s="60"/>
      <c r="L37" s="60"/>
      <c r="M37" s="60"/>
      <c r="N37" s="60"/>
      <c r="O37" s="60"/>
      <c r="P37" s="60"/>
      <c r="Q37" s="60"/>
      <c r="R37" s="60"/>
      <c r="S37" s="60"/>
      <c r="T37" s="60"/>
      <c r="U37" s="61"/>
    </row>
    <row r="38" spans="2:21" ht="185.25" customHeight="1" x14ac:dyDescent="0.2">
      <c r="B38" s="59" t="s">
        <v>455</v>
      </c>
      <c r="C38" s="60"/>
      <c r="D38" s="60"/>
      <c r="E38" s="60"/>
      <c r="F38" s="60"/>
      <c r="G38" s="60"/>
      <c r="H38" s="60"/>
      <c r="I38" s="60"/>
      <c r="J38" s="60"/>
      <c r="K38" s="60"/>
      <c r="L38" s="60"/>
      <c r="M38" s="60"/>
      <c r="N38" s="60"/>
      <c r="O38" s="60"/>
      <c r="P38" s="60"/>
      <c r="Q38" s="60"/>
      <c r="R38" s="60"/>
      <c r="S38" s="60"/>
      <c r="T38" s="60"/>
      <c r="U38" s="61"/>
    </row>
    <row r="39" spans="2:21" ht="86.85" customHeight="1" x14ac:dyDescent="0.2">
      <c r="B39" s="59" t="s">
        <v>456</v>
      </c>
      <c r="C39" s="60"/>
      <c r="D39" s="60"/>
      <c r="E39" s="60"/>
      <c r="F39" s="60"/>
      <c r="G39" s="60"/>
      <c r="H39" s="60"/>
      <c r="I39" s="60"/>
      <c r="J39" s="60"/>
      <c r="K39" s="60"/>
      <c r="L39" s="60"/>
      <c r="M39" s="60"/>
      <c r="N39" s="60"/>
      <c r="O39" s="60"/>
      <c r="P39" s="60"/>
      <c r="Q39" s="60"/>
      <c r="R39" s="60"/>
      <c r="S39" s="60"/>
      <c r="T39" s="60"/>
      <c r="U39" s="61"/>
    </row>
    <row r="40" spans="2:21" ht="40.35" customHeight="1" x14ac:dyDescent="0.2">
      <c r="B40" s="59" t="s">
        <v>457</v>
      </c>
      <c r="C40" s="60"/>
      <c r="D40" s="60"/>
      <c r="E40" s="60"/>
      <c r="F40" s="60"/>
      <c r="G40" s="60"/>
      <c r="H40" s="60"/>
      <c r="I40" s="60"/>
      <c r="J40" s="60"/>
      <c r="K40" s="60"/>
      <c r="L40" s="60"/>
      <c r="M40" s="60"/>
      <c r="N40" s="60"/>
      <c r="O40" s="60"/>
      <c r="P40" s="60"/>
      <c r="Q40" s="60"/>
      <c r="R40" s="60"/>
      <c r="S40" s="60"/>
      <c r="T40" s="60"/>
      <c r="U40" s="61"/>
    </row>
    <row r="41" spans="2:21" ht="178.5" customHeight="1" x14ac:dyDescent="0.2">
      <c r="B41" s="59" t="s">
        <v>458</v>
      </c>
      <c r="C41" s="60"/>
      <c r="D41" s="60"/>
      <c r="E41" s="60"/>
      <c r="F41" s="60"/>
      <c r="G41" s="60"/>
      <c r="H41" s="60"/>
      <c r="I41" s="60"/>
      <c r="J41" s="60"/>
      <c r="K41" s="60"/>
      <c r="L41" s="60"/>
      <c r="M41" s="60"/>
      <c r="N41" s="60"/>
      <c r="O41" s="60"/>
      <c r="P41" s="60"/>
      <c r="Q41" s="60"/>
      <c r="R41" s="60"/>
      <c r="S41" s="60"/>
      <c r="T41" s="60"/>
      <c r="U41" s="61"/>
    </row>
    <row r="42" spans="2:21" ht="178.5" customHeight="1" x14ac:dyDescent="0.2">
      <c r="B42" s="59" t="s">
        <v>459</v>
      </c>
      <c r="C42" s="60"/>
      <c r="D42" s="60"/>
      <c r="E42" s="60"/>
      <c r="F42" s="60"/>
      <c r="G42" s="60"/>
      <c r="H42" s="60"/>
      <c r="I42" s="60"/>
      <c r="J42" s="60"/>
      <c r="K42" s="60"/>
      <c r="L42" s="60"/>
      <c r="M42" s="60"/>
      <c r="N42" s="60"/>
      <c r="O42" s="60"/>
      <c r="P42" s="60"/>
      <c r="Q42" s="60"/>
      <c r="R42" s="60"/>
      <c r="S42" s="60"/>
      <c r="T42" s="60"/>
      <c r="U42" s="61"/>
    </row>
    <row r="43" spans="2:21" ht="178.7" customHeight="1" x14ac:dyDescent="0.2">
      <c r="B43" s="59" t="s">
        <v>460</v>
      </c>
      <c r="C43" s="60"/>
      <c r="D43" s="60"/>
      <c r="E43" s="60"/>
      <c r="F43" s="60"/>
      <c r="G43" s="60"/>
      <c r="H43" s="60"/>
      <c r="I43" s="60"/>
      <c r="J43" s="60"/>
      <c r="K43" s="60"/>
      <c r="L43" s="60"/>
      <c r="M43" s="60"/>
      <c r="N43" s="60"/>
      <c r="O43" s="60"/>
      <c r="P43" s="60"/>
      <c r="Q43" s="60"/>
      <c r="R43" s="60"/>
      <c r="S43" s="60"/>
      <c r="T43" s="60"/>
      <c r="U43" s="61"/>
    </row>
    <row r="44" spans="2:21" ht="178.35" customHeight="1" x14ac:dyDescent="0.2">
      <c r="B44" s="59" t="s">
        <v>461</v>
      </c>
      <c r="C44" s="60"/>
      <c r="D44" s="60"/>
      <c r="E44" s="60"/>
      <c r="F44" s="60"/>
      <c r="G44" s="60"/>
      <c r="H44" s="60"/>
      <c r="I44" s="60"/>
      <c r="J44" s="60"/>
      <c r="K44" s="60"/>
      <c r="L44" s="60"/>
      <c r="M44" s="60"/>
      <c r="N44" s="60"/>
      <c r="O44" s="60"/>
      <c r="P44" s="60"/>
      <c r="Q44" s="60"/>
      <c r="R44" s="60"/>
      <c r="S44" s="60"/>
      <c r="T44" s="60"/>
      <c r="U44" s="61"/>
    </row>
    <row r="45" spans="2:21" ht="179.85" customHeight="1" x14ac:dyDescent="0.2">
      <c r="B45" s="59" t="s">
        <v>462</v>
      </c>
      <c r="C45" s="60"/>
      <c r="D45" s="60"/>
      <c r="E45" s="60"/>
      <c r="F45" s="60"/>
      <c r="G45" s="60"/>
      <c r="H45" s="60"/>
      <c r="I45" s="60"/>
      <c r="J45" s="60"/>
      <c r="K45" s="60"/>
      <c r="L45" s="60"/>
      <c r="M45" s="60"/>
      <c r="N45" s="60"/>
      <c r="O45" s="60"/>
      <c r="P45" s="60"/>
      <c r="Q45" s="60"/>
      <c r="R45" s="60"/>
      <c r="S45" s="60"/>
      <c r="T45" s="60"/>
      <c r="U45" s="61"/>
    </row>
    <row r="46" spans="2:21" ht="34.5" customHeight="1" x14ac:dyDescent="0.2">
      <c r="B46" s="59" t="s">
        <v>463</v>
      </c>
      <c r="C46" s="60"/>
      <c r="D46" s="60"/>
      <c r="E46" s="60"/>
      <c r="F46" s="60"/>
      <c r="G46" s="60"/>
      <c r="H46" s="60"/>
      <c r="I46" s="60"/>
      <c r="J46" s="60"/>
      <c r="K46" s="60"/>
      <c r="L46" s="60"/>
      <c r="M46" s="60"/>
      <c r="N46" s="60"/>
      <c r="O46" s="60"/>
      <c r="P46" s="60"/>
      <c r="Q46" s="60"/>
      <c r="R46" s="60"/>
      <c r="S46" s="60"/>
      <c r="T46" s="60"/>
      <c r="U46" s="61"/>
    </row>
    <row r="47" spans="2:21" ht="73.7" customHeight="1" x14ac:dyDescent="0.2">
      <c r="B47" s="59" t="s">
        <v>464</v>
      </c>
      <c r="C47" s="60"/>
      <c r="D47" s="60"/>
      <c r="E47" s="60"/>
      <c r="F47" s="60"/>
      <c r="G47" s="60"/>
      <c r="H47" s="60"/>
      <c r="I47" s="60"/>
      <c r="J47" s="60"/>
      <c r="K47" s="60"/>
      <c r="L47" s="60"/>
      <c r="M47" s="60"/>
      <c r="N47" s="60"/>
      <c r="O47" s="60"/>
      <c r="P47" s="60"/>
      <c r="Q47" s="60"/>
      <c r="R47" s="60"/>
      <c r="S47" s="60"/>
      <c r="T47" s="60"/>
      <c r="U47" s="61"/>
    </row>
    <row r="48" spans="2:21" ht="56.1" customHeight="1" x14ac:dyDescent="0.2">
      <c r="B48" s="59" t="s">
        <v>465</v>
      </c>
      <c r="C48" s="60"/>
      <c r="D48" s="60"/>
      <c r="E48" s="60"/>
      <c r="F48" s="60"/>
      <c r="G48" s="60"/>
      <c r="H48" s="60"/>
      <c r="I48" s="60"/>
      <c r="J48" s="60"/>
      <c r="K48" s="60"/>
      <c r="L48" s="60"/>
      <c r="M48" s="60"/>
      <c r="N48" s="60"/>
      <c r="O48" s="60"/>
      <c r="P48" s="60"/>
      <c r="Q48" s="60"/>
      <c r="R48" s="60"/>
      <c r="S48" s="60"/>
      <c r="T48" s="60"/>
      <c r="U48" s="61"/>
    </row>
    <row r="49" spans="2:21" ht="54" customHeight="1" thickBot="1" x14ac:dyDescent="0.25">
      <c r="B49" s="62" t="s">
        <v>466</v>
      </c>
      <c r="C49" s="63"/>
      <c r="D49" s="63"/>
      <c r="E49" s="63"/>
      <c r="F49" s="63"/>
      <c r="G49" s="63"/>
      <c r="H49" s="63"/>
      <c r="I49" s="63"/>
      <c r="J49" s="63"/>
      <c r="K49" s="63"/>
      <c r="L49" s="63"/>
      <c r="M49" s="63"/>
      <c r="N49" s="63"/>
      <c r="O49" s="63"/>
      <c r="P49" s="63"/>
      <c r="Q49" s="63"/>
      <c r="R49" s="63"/>
      <c r="S49" s="63"/>
      <c r="T49" s="63"/>
      <c r="U49" s="64"/>
    </row>
  </sheetData>
  <mergeCells count="88">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C24:H24"/>
    <mergeCell ref="I24:K24"/>
    <mergeCell ref="L24:O24"/>
    <mergeCell ref="C25:H25"/>
    <mergeCell ref="I25:K25"/>
    <mergeCell ref="L25:O25"/>
    <mergeCell ref="B39:U39"/>
    <mergeCell ref="C26:H26"/>
    <mergeCell ref="I26:K26"/>
    <mergeCell ref="L26:O26"/>
    <mergeCell ref="B30:D30"/>
    <mergeCell ref="B31:D31"/>
    <mergeCell ref="B33:U33"/>
    <mergeCell ref="B34:U34"/>
    <mergeCell ref="B35:U35"/>
    <mergeCell ref="B36:U36"/>
    <mergeCell ref="B37:U37"/>
    <mergeCell ref="B38:U38"/>
    <mergeCell ref="B46:U46"/>
    <mergeCell ref="B47:U47"/>
    <mergeCell ref="B48:U48"/>
    <mergeCell ref="B49:U49"/>
    <mergeCell ref="B40:U40"/>
    <mergeCell ref="B41:U41"/>
    <mergeCell ref="B42:U42"/>
    <mergeCell ref="B43:U43"/>
    <mergeCell ref="B44:U44"/>
    <mergeCell ref="B45:U4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583</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467</v>
      </c>
      <c r="D4" s="99" t="s">
        <v>468</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273</v>
      </c>
      <c r="L6" s="80"/>
      <c r="M6" s="80"/>
      <c r="N6" s="19"/>
      <c r="O6" s="20" t="s">
        <v>20</v>
      </c>
      <c r="P6" s="80" t="s">
        <v>469</v>
      </c>
      <c r="Q6" s="80"/>
      <c r="R6" s="21"/>
      <c r="S6" s="20" t="s">
        <v>22</v>
      </c>
      <c r="T6" s="80" t="s">
        <v>470</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471</v>
      </c>
      <c r="D11" s="73"/>
      <c r="E11" s="73"/>
      <c r="F11" s="73"/>
      <c r="G11" s="73"/>
      <c r="H11" s="73"/>
      <c r="I11" s="73" t="s">
        <v>472</v>
      </c>
      <c r="J11" s="73"/>
      <c r="K11" s="73"/>
      <c r="L11" s="73" t="s">
        <v>473</v>
      </c>
      <c r="M11" s="73"/>
      <c r="N11" s="73"/>
      <c r="O11" s="73"/>
      <c r="P11" s="27" t="s">
        <v>48</v>
      </c>
      <c r="Q11" s="27" t="s">
        <v>43</v>
      </c>
      <c r="R11" s="27">
        <v>6.91</v>
      </c>
      <c r="S11" s="27" t="s">
        <v>44</v>
      </c>
      <c r="T11" s="27" t="s">
        <v>44</v>
      </c>
      <c r="U11" s="28" t="str">
        <f>IF(ISERR(T11/S11*100),"N/A",T11/S11*100)</f>
        <v>N/A</v>
      </c>
    </row>
    <row r="12" spans="1:34" ht="75" customHeight="1" thickBot="1" x14ac:dyDescent="0.25">
      <c r="A12" s="25"/>
      <c r="B12" s="29" t="s">
        <v>45</v>
      </c>
      <c r="C12" s="72" t="s">
        <v>45</v>
      </c>
      <c r="D12" s="72"/>
      <c r="E12" s="72"/>
      <c r="F12" s="72"/>
      <c r="G12" s="72"/>
      <c r="H12" s="72"/>
      <c r="I12" s="72" t="s">
        <v>474</v>
      </c>
      <c r="J12" s="72"/>
      <c r="K12" s="72"/>
      <c r="L12" s="72" t="s">
        <v>475</v>
      </c>
      <c r="M12" s="72"/>
      <c r="N12" s="72"/>
      <c r="O12" s="72"/>
      <c r="P12" s="30" t="s">
        <v>476</v>
      </c>
      <c r="Q12" s="30" t="s">
        <v>43</v>
      </c>
      <c r="R12" s="31">
        <v>65</v>
      </c>
      <c r="S12" s="31" t="s">
        <v>44</v>
      </c>
      <c r="T12" s="31" t="s">
        <v>44</v>
      </c>
      <c r="U12" s="32" t="str">
        <f>IF(ISERR(T12/S12*100),"N/A",T12/S12*100)</f>
        <v>N/A</v>
      </c>
    </row>
    <row r="13" spans="1:34" ht="75" customHeight="1" thickTop="1" thickBot="1" x14ac:dyDescent="0.25">
      <c r="A13" s="25"/>
      <c r="B13" s="26" t="s">
        <v>62</v>
      </c>
      <c r="C13" s="73" t="s">
        <v>477</v>
      </c>
      <c r="D13" s="73"/>
      <c r="E13" s="73"/>
      <c r="F13" s="73"/>
      <c r="G13" s="73"/>
      <c r="H13" s="73"/>
      <c r="I13" s="73" t="s">
        <v>478</v>
      </c>
      <c r="J13" s="73"/>
      <c r="K13" s="73"/>
      <c r="L13" s="73" t="s">
        <v>479</v>
      </c>
      <c r="M13" s="73"/>
      <c r="N13" s="73"/>
      <c r="O13" s="73"/>
      <c r="P13" s="27" t="s">
        <v>48</v>
      </c>
      <c r="Q13" s="27" t="s">
        <v>43</v>
      </c>
      <c r="R13" s="27">
        <v>99</v>
      </c>
      <c r="S13" s="27" t="s">
        <v>44</v>
      </c>
      <c r="T13" s="27" t="s">
        <v>44</v>
      </c>
      <c r="U13" s="28" t="str">
        <f>IF(ISERR(T13/S13*100),"N/A",T13/S13*100)</f>
        <v>N/A</v>
      </c>
    </row>
    <row r="14" spans="1:34" ht="75" customHeight="1" thickTop="1" thickBot="1" x14ac:dyDescent="0.25">
      <c r="A14" s="25"/>
      <c r="B14" s="26" t="s">
        <v>71</v>
      </c>
      <c r="C14" s="73" t="s">
        <v>480</v>
      </c>
      <c r="D14" s="73"/>
      <c r="E14" s="73"/>
      <c r="F14" s="73"/>
      <c r="G14" s="73"/>
      <c r="H14" s="73"/>
      <c r="I14" s="73" t="s">
        <v>481</v>
      </c>
      <c r="J14" s="73"/>
      <c r="K14" s="73"/>
      <c r="L14" s="73" t="s">
        <v>482</v>
      </c>
      <c r="M14" s="73"/>
      <c r="N14" s="73"/>
      <c r="O14" s="73"/>
      <c r="P14" s="27" t="s">
        <v>48</v>
      </c>
      <c r="Q14" s="27" t="s">
        <v>75</v>
      </c>
      <c r="R14" s="27">
        <v>97</v>
      </c>
      <c r="S14" s="27" t="s">
        <v>44</v>
      </c>
      <c r="T14" s="27" t="s">
        <v>44</v>
      </c>
      <c r="U14" s="28" t="str">
        <f>IF(ISERR(T14/S14*100),"N/A",T14/S14*100)</f>
        <v>N/A</v>
      </c>
    </row>
    <row r="15" spans="1:34" ht="75" customHeight="1" thickTop="1" thickBot="1" x14ac:dyDescent="0.25">
      <c r="A15" s="25"/>
      <c r="B15" s="26" t="s">
        <v>87</v>
      </c>
      <c r="C15" s="73" t="s">
        <v>483</v>
      </c>
      <c r="D15" s="73"/>
      <c r="E15" s="73"/>
      <c r="F15" s="73"/>
      <c r="G15" s="73"/>
      <c r="H15" s="73"/>
      <c r="I15" s="73" t="s">
        <v>484</v>
      </c>
      <c r="J15" s="73"/>
      <c r="K15" s="73"/>
      <c r="L15" s="73" t="s">
        <v>485</v>
      </c>
      <c r="M15" s="73"/>
      <c r="N15" s="73"/>
      <c r="O15" s="73"/>
      <c r="P15" s="27" t="s">
        <v>48</v>
      </c>
      <c r="Q15" s="27" t="s">
        <v>291</v>
      </c>
      <c r="R15" s="27">
        <v>98</v>
      </c>
      <c r="S15" s="27">
        <v>98</v>
      </c>
      <c r="T15" s="27">
        <v>96.3</v>
      </c>
      <c r="U15" s="28">
        <f>IF(ISERR(T15/S15*100),"N/A",T15/S15*100)</f>
        <v>98.265306122448976</v>
      </c>
    </row>
    <row r="16" spans="1:34" ht="22.5" customHeight="1" thickTop="1" thickBot="1" x14ac:dyDescent="0.25">
      <c r="B16" s="8" t="s">
        <v>98</v>
      </c>
      <c r="C16" s="9"/>
      <c r="D16" s="9"/>
      <c r="E16" s="9"/>
      <c r="F16" s="9"/>
      <c r="G16" s="9"/>
      <c r="H16" s="10"/>
      <c r="I16" s="10"/>
      <c r="J16" s="10"/>
      <c r="K16" s="10"/>
      <c r="L16" s="10"/>
      <c r="M16" s="10"/>
      <c r="N16" s="10"/>
      <c r="O16" s="10"/>
      <c r="P16" s="10"/>
      <c r="Q16" s="10"/>
      <c r="R16" s="10"/>
      <c r="S16" s="10"/>
      <c r="T16" s="10"/>
      <c r="U16" s="11"/>
      <c r="V16" s="33"/>
    </row>
    <row r="17" spans="2:21" ht="26.25" customHeight="1" thickTop="1" x14ac:dyDescent="0.2">
      <c r="B17" s="34"/>
      <c r="C17" s="35"/>
      <c r="D17" s="35"/>
      <c r="E17" s="35"/>
      <c r="F17" s="35"/>
      <c r="G17" s="35"/>
      <c r="H17" s="36"/>
      <c r="I17" s="36"/>
      <c r="J17" s="36"/>
      <c r="K17" s="36"/>
      <c r="L17" s="36"/>
      <c r="M17" s="36"/>
      <c r="N17" s="36"/>
      <c r="O17" s="36"/>
      <c r="P17" s="37"/>
      <c r="Q17" s="38"/>
      <c r="R17" s="39" t="s">
        <v>99</v>
      </c>
      <c r="S17" s="22" t="s">
        <v>100</v>
      </c>
      <c r="T17" s="39" t="s">
        <v>101</v>
      </c>
      <c r="U17" s="22" t="s">
        <v>102</v>
      </c>
    </row>
    <row r="18" spans="2:21" ht="26.25" customHeight="1" thickBot="1" x14ac:dyDescent="0.25">
      <c r="B18" s="40"/>
      <c r="C18" s="41"/>
      <c r="D18" s="41"/>
      <c r="E18" s="41"/>
      <c r="F18" s="41"/>
      <c r="G18" s="41"/>
      <c r="H18" s="42"/>
      <c r="I18" s="42"/>
      <c r="J18" s="42"/>
      <c r="K18" s="42"/>
      <c r="L18" s="42"/>
      <c r="M18" s="42"/>
      <c r="N18" s="42"/>
      <c r="O18" s="42"/>
      <c r="P18" s="43"/>
      <c r="Q18" s="44"/>
      <c r="R18" s="45" t="s">
        <v>103</v>
      </c>
      <c r="S18" s="44" t="s">
        <v>103</v>
      </c>
      <c r="T18" s="44" t="s">
        <v>103</v>
      </c>
      <c r="U18" s="44" t="s">
        <v>104</v>
      </c>
    </row>
    <row r="19" spans="2:21" ht="13.5" customHeight="1" thickBot="1" x14ac:dyDescent="0.25">
      <c r="B19" s="65" t="s">
        <v>105</v>
      </c>
      <c r="C19" s="66"/>
      <c r="D19" s="66"/>
      <c r="E19" s="46"/>
      <c r="F19" s="46"/>
      <c r="G19" s="46"/>
      <c r="H19" s="47"/>
      <c r="I19" s="47"/>
      <c r="J19" s="47"/>
      <c r="K19" s="47"/>
      <c r="L19" s="47"/>
      <c r="M19" s="47"/>
      <c r="N19" s="47"/>
      <c r="O19" s="47"/>
      <c r="P19" s="48"/>
      <c r="Q19" s="48"/>
      <c r="R19" s="49">
        <f>266214.252087</f>
        <v>266214.252087</v>
      </c>
      <c r="S19" s="49">
        <f>183997.720678</f>
        <v>183997.72067800001</v>
      </c>
      <c r="T19" s="49">
        <f>190919.47152897</f>
        <v>190919.47152897</v>
      </c>
      <c r="U19" s="50">
        <f>+IF(ISERR(T19/S19*100),"N/A",T19/S19*100)</f>
        <v>103.76186771524371</v>
      </c>
    </row>
    <row r="20" spans="2:21" ht="13.5" customHeight="1" thickBot="1" x14ac:dyDescent="0.25">
      <c r="B20" s="67" t="s">
        <v>106</v>
      </c>
      <c r="C20" s="68"/>
      <c r="D20" s="68"/>
      <c r="E20" s="51"/>
      <c r="F20" s="51"/>
      <c r="G20" s="51"/>
      <c r="H20" s="52"/>
      <c r="I20" s="52"/>
      <c r="J20" s="52"/>
      <c r="K20" s="52"/>
      <c r="L20" s="52"/>
      <c r="M20" s="52"/>
      <c r="N20" s="52"/>
      <c r="O20" s="52"/>
      <c r="P20" s="53"/>
      <c r="Q20" s="53"/>
      <c r="R20" s="49">
        <f>275581.259061</f>
        <v>275581.25906100002</v>
      </c>
      <c r="S20" s="49">
        <f>190384.057065</f>
        <v>190384.057065</v>
      </c>
      <c r="T20" s="49">
        <f>190919.47152897</f>
        <v>190919.47152897</v>
      </c>
      <c r="U20" s="50">
        <f>+IF(ISERR(T20/S20*100),"N/A",T20/S20*100)</f>
        <v>100.28122862398463</v>
      </c>
    </row>
    <row r="21" spans="2:21" ht="14.85" customHeight="1" thickTop="1" thickBot="1" x14ac:dyDescent="0.25">
      <c r="B21" s="8" t="s">
        <v>107</v>
      </c>
      <c r="C21" s="9"/>
      <c r="D21" s="9"/>
      <c r="E21" s="9"/>
      <c r="F21" s="9"/>
      <c r="G21" s="9"/>
      <c r="H21" s="10"/>
      <c r="I21" s="10"/>
      <c r="J21" s="10"/>
      <c r="K21" s="10"/>
      <c r="L21" s="10"/>
      <c r="M21" s="10"/>
      <c r="N21" s="10"/>
      <c r="O21" s="10"/>
      <c r="P21" s="10"/>
      <c r="Q21" s="10"/>
      <c r="R21" s="10"/>
      <c r="S21" s="10"/>
      <c r="T21" s="10"/>
      <c r="U21" s="11"/>
    </row>
    <row r="22" spans="2:21" ht="44.25" customHeight="1" thickTop="1" x14ac:dyDescent="0.2">
      <c r="B22" s="69" t="s">
        <v>108</v>
      </c>
      <c r="C22" s="70"/>
      <c r="D22" s="70"/>
      <c r="E22" s="70"/>
      <c r="F22" s="70"/>
      <c r="G22" s="70"/>
      <c r="H22" s="70"/>
      <c r="I22" s="70"/>
      <c r="J22" s="70"/>
      <c r="K22" s="70"/>
      <c r="L22" s="70"/>
      <c r="M22" s="70"/>
      <c r="N22" s="70"/>
      <c r="O22" s="70"/>
      <c r="P22" s="70"/>
      <c r="Q22" s="70"/>
      <c r="R22" s="70"/>
      <c r="S22" s="70"/>
      <c r="T22" s="70"/>
      <c r="U22" s="71"/>
    </row>
    <row r="23" spans="2:21" ht="34.5" customHeight="1" x14ac:dyDescent="0.2">
      <c r="B23" s="59" t="s">
        <v>486</v>
      </c>
      <c r="C23" s="60"/>
      <c r="D23" s="60"/>
      <c r="E23" s="60"/>
      <c r="F23" s="60"/>
      <c r="G23" s="60"/>
      <c r="H23" s="60"/>
      <c r="I23" s="60"/>
      <c r="J23" s="60"/>
      <c r="K23" s="60"/>
      <c r="L23" s="60"/>
      <c r="M23" s="60"/>
      <c r="N23" s="60"/>
      <c r="O23" s="60"/>
      <c r="P23" s="60"/>
      <c r="Q23" s="60"/>
      <c r="R23" s="60"/>
      <c r="S23" s="60"/>
      <c r="T23" s="60"/>
      <c r="U23" s="61"/>
    </row>
    <row r="24" spans="2:21" ht="34.5" customHeight="1" x14ac:dyDescent="0.2">
      <c r="B24" s="59" t="s">
        <v>487</v>
      </c>
      <c r="C24" s="60"/>
      <c r="D24" s="60"/>
      <c r="E24" s="60"/>
      <c r="F24" s="60"/>
      <c r="G24" s="60"/>
      <c r="H24" s="60"/>
      <c r="I24" s="60"/>
      <c r="J24" s="60"/>
      <c r="K24" s="60"/>
      <c r="L24" s="60"/>
      <c r="M24" s="60"/>
      <c r="N24" s="60"/>
      <c r="O24" s="60"/>
      <c r="P24" s="60"/>
      <c r="Q24" s="60"/>
      <c r="R24" s="60"/>
      <c r="S24" s="60"/>
      <c r="T24" s="60"/>
      <c r="U24" s="61"/>
    </row>
    <row r="25" spans="2:21" ht="34.5" customHeight="1" x14ac:dyDescent="0.2">
      <c r="B25" s="59" t="s">
        <v>488</v>
      </c>
      <c r="C25" s="60"/>
      <c r="D25" s="60"/>
      <c r="E25" s="60"/>
      <c r="F25" s="60"/>
      <c r="G25" s="60"/>
      <c r="H25" s="60"/>
      <c r="I25" s="60"/>
      <c r="J25" s="60"/>
      <c r="K25" s="60"/>
      <c r="L25" s="60"/>
      <c r="M25" s="60"/>
      <c r="N25" s="60"/>
      <c r="O25" s="60"/>
      <c r="P25" s="60"/>
      <c r="Q25" s="60"/>
      <c r="R25" s="60"/>
      <c r="S25" s="60"/>
      <c r="T25" s="60"/>
      <c r="U25" s="61"/>
    </row>
    <row r="26" spans="2:21" ht="34.5" customHeight="1" x14ac:dyDescent="0.2">
      <c r="B26" s="59" t="s">
        <v>489</v>
      </c>
      <c r="C26" s="60"/>
      <c r="D26" s="60"/>
      <c r="E26" s="60"/>
      <c r="F26" s="60"/>
      <c r="G26" s="60"/>
      <c r="H26" s="60"/>
      <c r="I26" s="60"/>
      <c r="J26" s="60"/>
      <c r="K26" s="60"/>
      <c r="L26" s="60"/>
      <c r="M26" s="60"/>
      <c r="N26" s="60"/>
      <c r="O26" s="60"/>
      <c r="P26" s="60"/>
      <c r="Q26" s="60"/>
      <c r="R26" s="60"/>
      <c r="S26" s="60"/>
      <c r="T26" s="60"/>
      <c r="U26" s="61"/>
    </row>
    <row r="27" spans="2:21" ht="33.6" customHeight="1" thickBot="1" x14ac:dyDescent="0.25">
      <c r="B27" s="62" t="s">
        <v>490</v>
      </c>
      <c r="C27" s="63"/>
      <c r="D27" s="63"/>
      <c r="E27" s="63"/>
      <c r="F27" s="63"/>
      <c r="G27" s="63"/>
      <c r="H27" s="63"/>
      <c r="I27" s="63"/>
      <c r="J27" s="63"/>
      <c r="K27" s="63"/>
      <c r="L27" s="63"/>
      <c r="M27" s="63"/>
      <c r="N27" s="63"/>
      <c r="O27" s="63"/>
      <c r="P27" s="63"/>
      <c r="Q27" s="63"/>
      <c r="R27" s="63"/>
      <c r="S27" s="63"/>
      <c r="T27" s="63"/>
      <c r="U27" s="64"/>
    </row>
  </sheetData>
  <mergeCells count="4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6:U26"/>
    <mergeCell ref="B27:U27"/>
    <mergeCell ref="B19:D19"/>
    <mergeCell ref="B20:D20"/>
    <mergeCell ref="B22:U22"/>
    <mergeCell ref="B23:U23"/>
    <mergeCell ref="B24:U24"/>
    <mergeCell ref="B25:U2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26</vt:i4>
      </vt:variant>
    </vt:vector>
  </HeadingPairs>
  <TitlesOfParts>
    <vt:vector size="39" baseType="lpstr">
      <vt:lpstr>Portada</vt:lpstr>
      <vt:lpstr>50 E001</vt:lpstr>
      <vt:lpstr>50 E003</vt:lpstr>
      <vt:lpstr>50 E004</vt:lpstr>
      <vt:lpstr>50 E006</vt:lpstr>
      <vt:lpstr>50 E007</vt:lpstr>
      <vt:lpstr>50 E011</vt:lpstr>
      <vt:lpstr>50 E012</vt:lpstr>
      <vt:lpstr>50 J001</vt:lpstr>
      <vt:lpstr>50 J002</vt:lpstr>
      <vt:lpstr>50 J004</vt:lpstr>
      <vt:lpstr>50 K012</vt:lpstr>
      <vt:lpstr>50 K029</vt:lpstr>
      <vt:lpstr>'50 E001'!Área_de_impresión</vt:lpstr>
      <vt:lpstr>'50 E003'!Área_de_impresión</vt:lpstr>
      <vt:lpstr>'50 E004'!Área_de_impresión</vt:lpstr>
      <vt:lpstr>'50 E006'!Área_de_impresión</vt:lpstr>
      <vt:lpstr>'50 E007'!Área_de_impresión</vt:lpstr>
      <vt:lpstr>'50 E011'!Área_de_impresión</vt:lpstr>
      <vt:lpstr>'50 E012'!Área_de_impresión</vt:lpstr>
      <vt:lpstr>'50 J001'!Área_de_impresión</vt:lpstr>
      <vt:lpstr>'50 J002'!Área_de_impresión</vt:lpstr>
      <vt:lpstr>'50 J004'!Área_de_impresión</vt:lpstr>
      <vt:lpstr>'50 K012'!Área_de_impresión</vt:lpstr>
      <vt:lpstr>'50 K029'!Área_de_impresión</vt:lpstr>
      <vt:lpstr>Portada!Área_de_impresión</vt:lpstr>
      <vt:lpstr>'50 E001'!Títulos_a_imprimir</vt:lpstr>
      <vt:lpstr>'50 E003'!Títulos_a_imprimir</vt:lpstr>
      <vt:lpstr>'50 E004'!Títulos_a_imprimir</vt:lpstr>
      <vt:lpstr>'50 E006'!Títulos_a_imprimir</vt:lpstr>
      <vt:lpstr>'50 E007'!Títulos_a_imprimir</vt:lpstr>
      <vt:lpstr>'50 E011'!Títulos_a_imprimir</vt:lpstr>
      <vt:lpstr>'50 E012'!Títulos_a_imprimir</vt:lpstr>
      <vt:lpstr>'50 J001'!Títulos_a_imprimir</vt:lpstr>
      <vt:lpstr>'50 J002'!Títulos_a_imprimir</vt:lpstr>
      <vt:lpstr>'50 J004'!Títulos_a_imprimir</vt:lpstr>
      <vt:lpstr>'50 K012'!Títulos_a_imprimir</vt:lpstr>
      <vt:lpstr>'50 K029'!Títulos_a_imprimir</vt:lpstr>
      <vt:lpstr>Portada!Títulos_a_imprimir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Luis Segura Luna</cp:lastModifiedBy>
  <cp:lastPrinted>2009-03-26T01:46:20Z</cp:lastPrinted>
  <dcterms:created xsi:type="dcterms:W3CDTF">2009-03-25T01:44:41Z</dcterms:created>
  <dcterms:modified xsi:type="dcterms:W3CDTF">2019-10-18T23:56:06Z</dcterms:modified>
</cp:coreProperties>
</file>